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025" windowHeight="4650" activeTab="2"/>
  </bookViews>
  <sheets>
    <sheet name="F-4" sheetId="1" r:id="rId1"/>
    <sheet name="F-5" sheetId="2" r:id="rId2"/>
    <sheet name="F-14" sheetId="3" r:id="rId3"/>
    <sheet name="F-15" sheetId="4" r:id="rId4"/>
    <sheet name="F-16" sheetId="5" r:id="rId5"/>
    <sheet name="F-18" sheetId="6" r:id="rId6"/>
    <sheet name="F-18 S" sheetId="7" r:id="rId7"/>
    <sheet name="F-20" sheetId="8" r:id="rId8"/>
    <sheet name="F-22" sheetId="9" r:id="rId9"/>
    <sheet name="F-35" sheetId="10" r:id="rId10"/>
    <sheet name="F-111" sheetId="11" r:id="rId11"/>
    <sheet name="F-117" sheetId="12" r:id="rId12"/>
    <sheet name="Tables" sheetId="13" r:id="rId13"/>
  </sheets>
  <definedNames/>
  <calcPr fullCalcOnLoad="1"/>
</workbook>
</file>

<file path=xl/sharedStrings.xml><?xml version="1.0" encoding="utf-8"?>
<sst xmlns="http://schemas.openxmlformats.org/spreadsheetml/2006/main" count="3566" uniqueCount="1238">
  <si>
    <t>Equipment</t>
  </si>
  <si>
    <t>Maximum Airspeed</t>
  </si>
  <si>
    <t>Landing Gear Extension</t>
  </si>
  <si>
    <t xml:space="preserve">   maximum speed</t>
  </si>
  <si>
    <t>F-5E</t>
  </si>
  <si>
    <r>
      <t>^^ High speeds for 1G are higher (+10) than actual chart for game purposes.</t>
    </r>
    <r>
      <rPr>
        <sz val="10"/>
        <color indexed="10"/>
        <rFont val="Arial"/>
        <family val="2"/>
      </rPr>
      <t xml:space="preserve"> [Not Yet]</t>
    </r>
  </si>
  <si>
    <t>F-5F</t>
  </si>
  <si>
    <t>F-5A</t>
  </si>
  <si>
    <t>AT-38</t>
  </si>
  <si>
    <t>F-5E/F FM (1984 Rev 1990)</t>
  </si>
  <si>
    <t>Note: a GBU-27 is a GBU-24 that has been refitted to be used by the F-117.</t>
  </si>
  <si>
    <t>Incl: one pilot, full int. fuel (JP-4), oil, full ballast, w-tip launch rails, and no ammo.</t>
  </si>
  <si>
    <t>15,050 lbs</t>
  </si>
  <si>
    <t>15,650 lbs</t>
  </si>
  <si>
    <t>pg 1-3;</t>
  </si>
  <si>
    <t>J85-GE-21</t>
  </si>
  <si>
    <t>pg 1-44</t>
  </si>
  <si>
    <t>LAU-60/A</t>
  </si>
  <si>
    <t>LAU-68/A</t>
  </si>
  <si>
    <t>BLU-32</t>
  </si>
  <si>
    <t>CBU-58/B</t>
  </si>
  <si>
    <t>pg 5-16</t>
  </si>
  <si>
    <t>560 rounds</t>
  </si>
  <si>
    <t>pg A1-8</t>
  </si>
  <si>
    <t>469 lbs</t>
  </si>
  <si>
    <t>170 lbs</t>
  </si>
  <si>
    <t>1 round of 20mm = 0.7 lbs</t>
  </si>
  <si>
    <t>824 lbs</t>
  </si>
  <si>
    <t>2,083 lbs</t>
  </si>
  <si>
    <t>610 lbs</t>
  </si>
  <si>
    <t>822 lbs</t>
  </si>
  <si>
    <t>818 lbs</t>
  </si>
  <si>
    <t>782 lbs</t>
  </si>
  <si>
    <t>582 lbs</t>
  </si>
  <si>
    <t>140 rounds</t>
  </si>
  <si>
    <t>229 lbs empty</t>
  </si>
  <si>
    <t>148 lbs empty</t>
  </si>
  <si>
    <t>230 kts</t>
  </si>
  <si>
    <t>pg A2-3</t>
  </si>
  <si>
    <t>calculated (-E -F): gw - full int. fuel</t>
  </si>
  <si>
    <t>10,649 lbs</t>
  </si>
  <si>
    <t>11,249 lbs</t>
  </si>
  <si>
    <t>pg A2-19</t>
  </si>
  <si>
    <t>Take-off speed, CG 15% MAC, 12,000 lbs</t>
  </si>
  <si>
    <t>Take-off speed, CG 15% MAC, 14,000 lbs</t>
  </si>
  <si>
    <t>Take-off speed, CG 15% MAC, 16,000 lbs</t>
  </si>
  <si>
    <t>140 kias</t>
  </si>
  <si>
    <t>151 kias</t>
  </si>
  <si>
    <t>Combat Ceiling, Max A/B, 0 Drag,  12,000 lbs</t>
  </si>
  <si>
    <t>Combat Ceiling, Max A/B, 0 Drag,  11,000 lbs</t>
  </si>
  <si>
    <t>Combat Ceiling, Max A/B, 0 Drag,  15,000 lbs</t>
  </si>
  <si>
    <t>A3-17</t>
  </si>
  <si>
    <t>53,100 ft</t>
  </si>
  <si>
    <t>48,800 ft</t>
  </si>
  <si>
    <t>681 ktas</t>
  </si>
  <si>
    <t>pg A8-28</t>
  </si>
  <si>
    <t>Max Level Speed, std day, 13,300 lbs, 36,000'</t>
  </si>
  <si>
    <t>Max Level Speed, std day, 13,300 lbs, Sea Level</t>
  </si>
  <si>
    <t>pg A8-30</t>
  </si>
  <si>
    <t>935 ktas</t>
  </si>
  <si>
    <t>676 ktas</t>
  </si>
  <si>
    <t>895 ktas</t>
  </si>
  <si>
    <t>150 Gal</t>
  </si>
  <si>
    <t>AIM-9</t>
  </si>
  <si>
    <t>MK-84</t>
  </si>
  <si>
    <t>Missile</t>
  </si>
  <si>
    <t>M117</t>
  </si>
  <si>
    <t>pg 5-9</t>
  </si>
  <si>
    <t>pg 1-19</t>
  </si>
  <si>
    <t>pg 5-2</t>
  </si>
  <si>
    <t>Weight</t>
  </si>
  <si>
    <t>500 lbs</t>
  </si>
  <si>
    <r>
      <t xml:space="preserve">       </t>
    </r>
    <r>
      <rPr>
        <b/>
        <sz val="8"/>
        <rFont val="Arial"/>
        <family val="2"/>
      </rPr>
      <t xml:space="preserve"> *</t>
    </r>
    <r>
      <rPr>
        <sz val="8"/>
        <rFont val="Arial"/>
        <family val="2"/>
      </rPr>
      <t xml:space="preserve"> The quantities given for </t>
    </r>
    <r>
      <rPr>
        <u val="single"/>
        <sz val="8"/>
        <rFont val="Arial"/>
        <family val="2"/>
      </rPr>
      <t>wing pylons</t>
    </r>
    <r>
      <rPr>
        <sz val="8"/>
        <rFont val="Arial"/>
        <family val="2"/>
      </rPr>
      <t xml:space="preserve"> are for </t>
    </r>
    <r>
      <rPr>
        <u val="single"/>
        <sz val="8"/>
        <rFont val="Arial"/>
        <family val="2"/>
      </rPr>
      <t>each side</t>
    </r>
    <r>
      <rPr>
        <sz val="8"/>
        <rFont val="Arial"/>
        <family val="2"/>
      </rPr>
      <t>.</t>
    </r>
    <r>
      <rPr>
        <b/>
        <sz val="8"/>
        <rFont val="Arial"/>
        <family val="2"/>
      </rPr>
      <t>*</t>
    </r>
  </si>
  <si>
    <r>
      <t xml:space="preserve">       </t>
    </r>
    <r>
      <rPr>
        <b/>
        <sz val="8"/>
        <rFont val="Arial"/>
        <family val="2"/>
      </rPr>
      <t xml:space="preserve"> *</t>
    </r>
    <r>
      <rPr>
        <sz val="8"/>
        <rFont val="Arial"/>
        <family val="2"/>
      </rPr>
      <t xml:space="preserve"> The quantities given for </t>
    </r>
    <r>
      <rPr>
        <u val="single"/>
        <sz val="8"/>
        <rFont val="Arial"/>
        <family val="2"/>
      </rPr>
      <t>wing</t>
    </r>
    <r>
      <rPr>
        <sz val="8"/>
        <rFont val="Arial"/>
        <family val="2"/>
      </rPr>
      <t xml:space="preserve"> &amp; </t>
    </r>
    <r>
      <rPr>
        <u val="single"/>
        <sz val="8"/>
        <rFont val="Arial"/>
        <family val="2"/>
      </rPr>
      <t>CFT pylons</t>
    </r>
    <r>
      <rPr>
        <sz val="8"/>
        <rFont val="Arial"/>
        <family val="2"/>
      </rPr>
      <t xml:space="preserve"> are for </t>
    </r>
    <r>
      <rPr>
        <u val="single"/>
        <sz val="8"/>
        <rFont val="Arial"/>
        <family val="2"/>
      </rPr>
      <t>each side</t>
    </r>
    <r>
      <rPr>
        <b/>
        <sz val="8"/>
        <rFont val="Arial"/>
        <family val="2"/>
      </rPr>
      <t>.*</t>
    </r>
  </si>
  <si>
    <t>124 kias</t>
  </si>
  <si>
    <t>Pylons</t>
  </si>
  <si>
    <t>Fire Bombs</t>
  </si>
  <si>
    <t>Cluster Bombs</t>
  </si>
  <si>
    <t>+ 9.5; - 1.0</t>
  </si>
  <si>
    <t>Nomenclature</t>
  </si>
  <si>
    <t>Station 5</t>
  </si>
  <si>
    <t>Station 1 &amp; 9</t>
  </si>
  <si>
    <t>Station 2 &amp; 8</t>
  </si>
  <si>
    <t>Station 3 &amp; 7</t>
  </si>
  <si>
    <t>Station 4 &amp; 6</t>
  </si>
  <si>
    <t xml:space="preserve">        * The quantities given for wing pylons are for each side.*</t>
  </si>
  <si>
    <t>AIM-9L</t>
  </si>
  <si>
    <t>300-Gal</t>
  </si>
  <si>
    <t>370-Gal</t>
  </si>
  <si>
    <t>CBU-52</t>
  </si>
  <si>
    <t>CBU-58</t>
  </si>
  <si>
    <t>CBU-71</t>
  </si>
  <si>
    <t>AGM-65A/B</t>
  </si>
  <si>
    <t>416 lbs</t>
  </si>
  <si>
    <t>19 x 2.75-in</t>
  </si>
  <si>
    <t>LGB</t>
  </si>
  <si>
    <t>464 lbs</t>
  </si>
  <si>
    <t>AN/ALQ-119</t>
  </si>
  <si>
    <t>AN/ALQ-131</t>
  </si>
  <si>
    <t>675 lbs</t>
  </si>
  <si>
    <t>510 lbs</t>
  </si>
  <si>
    <t>716 lbs</t>
  </si>
  <si>
    <t>785 lbs</t>
  </si>
  <si>
    <t>800 lbs</t>
  </si>
  <si>
    <t>2,052 lbs</t>
  </si>
  <si>
    <t>611 lbs</t>
  </si>
  <si>
    <t>490 lbs</t>
  </si>
  <si>
    <t>1,970 lbs</t>
  </si>
  <si>
    <t>2,304 lbs</t>
  </si>
  <si>
    <t>354 lbs empty</t>
  </si>
  <si>
    <t>2,855 lbs</t>
  </si>
  <si>
    <t>450 lbs empty</t>
  </si>
  <si>
    <t>pg A1-6; 5-4</t>
  </si>
  <si>
    <t>pg A1-6; 1-15</t>
  </si>
  <si>
    <t>Chaff/Flare Buckets</t>
  </si>
  <si>
    <r>
      <t>F-16A</t>
    </r>
    <r>
      <rPr>
        <u val="single"/>
        <sz val="10"/>
        <rFont val="Arial"/>
        <family val="2"/>
      </rPr>
      <t xml:space="preserve"> Blk 30/32</t>
    </r>
  </si>
  <si>
    <t>pg 5-xx; A1-xx</t>
  </si>
  <si>
    <t>[47]</t>
  </si>
  <si>
    <t>pg 5-4; A1-19</t>
  </si>
  <si>
    <t>Block 10/15</t>
  </si>
  <si>
    <t>F-16A Blk 10/15 Flight Manual (1984)</t>
  </si>
  <si>
    <t>Block 10</t>
  </si>
  <si>
    <r>
      <t>F-16A Blk 10/15 Flight Manual (</t>
    </r>
    <r>
      <rPr>
        <sz val="10"/>
        <color indexed="12"/>
        <rFont val="Arial"/>
        <family val="2"/>
      </rPr>
      <t>2003</t>
    </r>
    <r>
      <rPr>
        <sz val="10"/>
        <rFont val="Arial"/>
        <family val="0"/>
      </rPr>
      <t>)</t>
    </r>
  </si>
  <si>
    <t>17,500 lbs</t>
  </si>
  <si>
    <t xml:space="preserve">pg 1-6; </t>
  </si>
  <si>
    <t>17,900 lbs</t>
  </si>
  <si>
    <t>pg 1-6</t>
  </si>
  <si>
    <t>AIM-9 missiles, and a full load of 20 mm</t>
  </si>
  <si>
    <t>ammunition is approximately 17,500 pounds and</t>
  </si>
  <si>
    <t>with full internal JP-8 fuel 24,800 pounds.</t>
  </si>
  <si>
    <t>17,000 lbs</t>
  </si>
  <si>
    <t>16,600 lbs</t>
  </si>
  <si>
    <t>19,797 lbs</t>
  </si>
  <si>
    <r>
      <t>F-16A</t>
    </r>
    <r>
      <rPr>
        <u val="single"/>
        <sz val="10"/>
        <rFont val="Arial"/>
        <family val="2"/>
      </rPr>
      <t xml:space="preserve"> Blk 10/15</t>
    </r>
  </si>
  <si>
    <t>58,994 ft</t>
  </si>
  <si>
    <t>calculated, incl. Pilot, unusable fuel, pylons, etc..</t>
  </si>
  <si>
    <t>15,961 lbs</t>
  </si>
  <si>
    <t>15,306 lbs</t>
  </si>
  <si>
    <t>55,317 ft</t>
  </si>
  <si>
    <r>
      <t>^^</t>
    </r>
    <r>
      <rPr>
        <sz val="10"/>
        <rFont val="Arial"/>
        <family val="0"/>
      </rPr>
      <t xml:space="preserve"> high speed, high G values not confirmed.</t>
    </r>
    <r>
      <rPr>
        <b/>
        <sz val="10"/>
        <color indexed="10"/>
        <rFont val="Arial"/>
        <family val="2"/>
      </rPr>
      <t>^^</t>
    </r>
  </si>
  <si>
    <t>EO  A-G</t>
  </si>
  <si>
    <r>
      <t>^^ High speeds for 1G are (+10) higher than actual chart for game purposes.</t>
    </r>
    <r>
      <rPr>
        <sz val="10"/>
        <color indexed="10"/>
        <rFont val="Arial"/>
        <family val="2"/>
      </rPr>
      <t xml:space="preserve"> </t>
    </r>
  </si>
  <si>
    <t>^^ G envelope only goes to 40,000 ft.</t>
  </si>
  <si>
    <r>
      <t xml:space="preserve">^^ Numbers in </t>
    </r>
    <r>
      <rPr>
        <sz val="10"/>
        <color indexed="53"/>
        <rFont val="Arial"/>
        <family val="2"/>
      </rPr>
      <t>orange</t>
    </r>
    <r>
      <rPr>
        <sz val="10"/>
        <rFont val="Arial"/>
        <family val="0"/>
      </rPr>
      <t xml:space="preserve"> are estimates.</t>
    </r>
  </si>
  <si>
    <t xml:space="preserve">A/B thrust </t>
  </si>
  <si>
    <t>pg 6-6</t>
  </si>
  <si>
    <t>Fuselage</t>
  </si>
  <si>
    <t>F-4D</t>
  </si>
  <si>
    <t>F-4B</t>
  </si>
  <si>
    <t>F-4C</t>
  </si>
  <si>
    <t>F-4E</t>
  </si>
  <si>
    <t>F-4G</t>
  </si>
  <si>
    <t>Bay Pylons</t>
  </si>
  <si>
    <t>Bay # 4</t>
  </si>
  <si>
    <t>Fuel - 370 Gal</t>
  </si>
  <si>
    <t>ALQ-72</t>
  </si>
  <si>
    <t>AIM-7s</t>
  </si>
  <si>
    <t>AIM-7</t>
  </si>
  <si>
    <t>AGM-45</t>
  </si>
  <si>
    <t>AGM-78</t>
  </si>
  <si>
    <t>AGM-88</t>
  </si>
  <si>
    <t>GBU-8 (EO)</t>
  </si>
  <si>
    <t>GBU-12 LGB</t>
  </si>
  <si>
    <t>AGM-65s (3-T)</t>
  </si>
  <si>
    <t>6-M = Multiple Ejection Rack (i.e. six bombs)</t>
  </si>
  <si>
    <t>3-T = Triple Ejection Rack (i.e. three bombs)</t>
  </si>
  <si>
    <t>2-T = Twin Pack (i.e. two bombs)</t>
  </si>
  <si>
    <t>AIM-9s (2-T)</t>
  </si>
  <si>
    <t>MK-20 (3-T)</t>
  </si>
  <si>
    <t>MK-20 (6-M)</t>
  </si>
  <si>
    <t>CBU-87 (2-T)</t>
  </si>
  <si>
    <t>C/F Pods</t>
  </si>
  <si>
    <t>33,000 lbs</t>
  </si>
  <si>
    <t>equal Basic Wt plus two crew member and engine oil.</t>
  </si>
  <si>
    <t>32,461 lbs</t>
  </si>
  <si>
    <t>J79-GE-17</t>
  </si>
  <si>
    <t>SUU-16</t>
  </si>
  <si>
    <t>SUU-23</t>
  </si>
  <si>
    <t>+8.5; -3</t>
  </si>
  <si>
    <t>750 kias</t>
  </si>
  <si>
    <t>710 kias</t>
  </si>
  <si>
    <t xml:space="preserve">   permissible, 36,000 ft</t>
  </si>
  <si>
    <t>pg 1-1; 5-6</t>
  </si>
  <si>
    <t>58,000 lbs</t>
  </si>
  <si>
    <t>250 kias</t>
  </si>
  <si>
    <t xml:space="preserve">Maximum Sink Rate </t>
  </si>
  <si>
    <t>156 kias</t>
  </si>
  <si>
    <t>Take Off Speed @ 42,000 lbs.</t>
  </si>
  <si>
    <t>pg A2-10</t>
  </si>
  <si>
    <t>Ceiling, Combat</t>
  </si>
  <si>
    <t>@ 34,000 lbs wt; 0 Drag</t>
  </si>
  <si>
    <t>pg A3-14</t>
  </si>
  <si>
    <t>^^ Charts gave flight envelope for 5k', 20k', 30k',and 40k', and an all-around for 1G; beginning pg A9-54.</t>
  </si>
  <si>
    <t>F-16A</t>
  </si>
  <si>
    <t>F-16C</t>
  </si>
  <si>
    <t>Block 15</t>
  </si>
  <si>
    <t>Block 50/52</t>
  </si>
  <si>
    <t>Block 60</t>
  </si>
  <si>
    <t>F-16E</t>
  </si>
  <si>
    <t>Block 30</t>
  </si>
  <si>
    <t>Block 32</t>
  </si>
  <si>
    <t>Block 50</t>
  </si>
  <si>
    <t>Block 52</t>
  </si>
  <si>
    <t xml:space="preserve">^^ 0G numbers are just outside the 1G </t>
  </si>
  <si>
    <t xml:space="preserve">     numbers (lower numbers smaller,</t>
  </si>
  <si>
    <t xml:space="preserve">      higher numbers bigger).</t>
  </si>
  <si>
    <t>Take Off Speed @ 24,000 lbs.</t>
  </si>
  <si>
    <t>Take Off Speed @ 28,000 lbs.</t>
  </si>
  <si>
    <t>142 kias</t>
  </si>
  <si>
    <t>155 kias</t>
  </si>
  <si>
    <t>194 kias</t>
  </si>
  <si>
    <t>SUP A2-8</t>
  </si>
  <si>
    <t>Take Off Speed @ 19,000 lbs.</t>
  </si>
  <si>
    <t>@ 20,000 lbs wt; 0 Drag</t>
  </si>
  <si>
    <t>56,100 ft</t>
  </si>
  <si>
    <t>SUP A8-6</t>
  </si>
  <si>
    <t>Maximum Airspeed, Vn</t>
  </si>
  <si>
    <t>1,176 ktas</t>
  </si>
  <si>
    <t xml:space="preserve">   800 ktas</t>
  </si>
  <si>
    <t>SUP A8-7</t>
  </si>
  <si>
    <t>Limit Speed</t>
  </si>
  <si>
    <t>1,170 ktas</t>
  </si>
  <si>
    <t>26,000 ft</t>
  </si>
  <si>
    <t>Maximum Airspeed, Level Flight, A/B, 20k lbs GW, 0 Drag</t>
  </si>
  <si>
    <t>Maximum Airspeed, Level Flight, MIL, 20k lbs GW, 0 Drag</t>
  </si>
  <si>
    <t>617 ktas</t>
  </si>
  <si>
    <t>582 ktas</t>
  </si>
  <si>
    <t>F100-PW-229</t>
  </si>
  <si>
    <t>634 ktas</t>
  </si>
  <si>
    <t>F110-GE-129</t>
  </si>
  <si>
    <t>SUP B2-8</t>
  </si>
  <si>
    <t>SUP B8-7</t>
  </si>
  <si>
    <t>1,162 ktas</t>
  </si>
  <si>
    <t>to 23,000 ft</t>
  </si>
  <si>
    <t>623 ktas</t>
  </si>
  <si>
    <t>55,200 ft</t>
  </si>
  <si>
    <t>SUP B8-6</t>
  </si>
  <si>
    <t>@ 20,000 lbs</t>
  </si>
  <si>
    <t>644 ktas</t>
  </si>
  <si>
    <t>^^ uses F-16C Blk 52 FM Supplemental, pg A1-22 (31 of 722), based on 28,000 lbs baseline.</t>
  </si>
  <si>
    <t>F16C Blk 52</t>
  </si>
  <si>
    <t>F-16C Blk 50/52 Flight Manual Supplemental (SUP)</t>
  </si>
  <si>
    <t>F-16C Blk 50/52 Flight Manual (2003)</t>
  </si>
  <si>
    <t>PX II</t>
  </si>
  <si>
    <t>PX III</t>
  </si>
  <si>
    <t xml:space="preserve"> The GW of the aircraft including pilot, oil, two tip</t>
  </si>
  <si>
    <t>ammunition is approximately 21,000 pounds and</t>
  </si>
  <si>
    <t>AIM-120 missiles, and a full load of 20 mm</t>
  </si>
  <si>
    <t>with full internal JP-8 fuel 28,200 pounds.</t>
  </si>
  <si>
    <t>pg 1-7</t>
  </si>
  <si>
    <t>pg 1-70</t>
  </si>
  <si>
    <t>pg 1-71</t>
  </si>
  <si>
    <t>Internal Usable Fuel (Gal), No CFTs</t>
  </si>
  <si>
    <t>Internal Usable Fuel (Gal), with CFTs</t>
  </si>
  <si>
    <t>235 kts</t>
  </si>
  <si>
    <t>pg 1-7; 5-3</t>
  </si>
  <si>
    <t>48,000 lbs</t>
  </si>
  <si>
    <t>+ 9.5; - 3.2</t>
  </si>
  <si>
    <t>800 kias = 2.05 M</t>
  </si>
  <si>
    <t>@ 38,900 ft</t>
  </si>
  <si>
    <t>300 kias</t>
  </si>
  <si>
    <t>Mil-TF, SUP</t>
  </si>
  <si>
    <t>JP-8 (6.8 lbs/gal)</t>
  </si>
  <si>
    <t>F100-PW-200</t>
  </si>
  <si>
    <t>pg 1-15</t>
  </si>
  <si>
    <t>35,400 lbs</t>
  </si>
  <si>
    <t>154 kias</t>
  </si>
  <si>
    <t>J79-GE-15</t>
  </si>
  <si>
    <t>Internal Gun</t>
  </si>
  <si>
    <t>No</t>
  </si>
  <si>
    <t>Yes</t>
  </si>
  <si>
    <t>29,500 lbs</t>
  </si>
  <si>
    <t>29,800 lbs</t>
  </si>
  <si>
    <t>31,930 lbs</t>
  </si>
  <si>
    <t>F-4C, D, &amp; E</t>
  </si>
  <si>
    <t>F-4G manual</t>
  </si>
  <si>
    <t>698 ft/min</t>
  </si>
  <si>
    <t>@ 34,000 lbs</t>
  </si>
  <si>
    <t>pg 1-2; 5-7</t>
  </si>
  <si>
    <t>pg 1-1; 5-7</t>
  </si>
  <si>
    <t>pg B2-14</t>
  </si>
  <si>
    <t>Take Off Speed @ 40,000 lbs.</t>
  </si>
  <si>
    <t>153 kias</t>
  </si>
  <si>
    <t>pg B3-13</t>
  </si>
  <si>
    <t>55,700 ft</t>
  </si>
  <si>
    <r>
      <t>Operating</t>
    </r>
    <r>
      <rPr>
        <sz val="9"/>
        <rFont val="Arial"/>
        <family val="2"/>
      </rPr>
      <t xml:space="preserve"> Wt</t>
    </r>
  </si>
  <si>
    <t>F-4J</t>
  </si>
  <si>
    <t>F-4M</t>
  </si>
  <si>
    <t>J79-GE-8</t>
  </si>
  <si>
    <t>54,800 lbs</t>
  </si>
  <si>
    <t>pg 1-10</t>
  </si>
  <si>
    <t>pg 2-63</t>
  </si>
  <si>
    <r>
      <t>F-4B</t>
    </r>
    <r>
      <rPr>
        <sz val="8"/>
        <rFont val="Arial"/>
        <family val="2"/>
      </rPr>
      <t xml:space="preserve"> / F-4B/N</t>
    </r>
  </si>
  <si>
    <t>pg 1-125</t>
  </si>
  <si>
    <t>pg 11-192</t>
  </si>
  <si>
    <t>28,265 lbs</t>
  </si>
  <si>
    <t>28,805 lbs</t>
  </si>
  <si>
    <t>54,900 ft</t>
  </si>
  <si>
    <r>
      <t>pg 1-10</t>
    </r>
    <r>
      <rPr>
        <sz val="9"/>
        <rFont val="Arial"/>
        <family val="2"/>
      </rPr>
      <t>; SAC</t>
    </r>
  </si>
  <si>
    <t>Spey MK 203</t>
  </si>
  <si>
    <t>FGR-2</t>
  </si>
  <si>
    <t>94 of 274</t>
  </si>
  <si>
    <t>117 of 274</t>
  </si>
  <si>
    <t>60,000 lbs</t>
  </si>
  <si>
    <t>178 of 274</t>
  </si>
  <si>
    <t>J79-GE-10B</t>
  </si>
  <si>
    <t>pg 1-81</t>
  </si>
  <si>
    <t>pg 1-128</t>
  </si>
  <si>
    <t>56,000 lbs</t>
  </si>
  <si>
    <t>pg 1-130</t>
  </si>
  <si>
    <t>31,176 lbs</t>
  </si>
  <si>
    <t>Note: installed thrust.</t>
  </si>
  <si>
    <t>(Total)</t>
  </si>
  <si>
    <t>GBU-27</t>
  </si>
  <si>
    <t>GBU-31</t>
  </si>
  <si>
    <t>JDAM</t>
  </si>
  <si>
    <t>Incomplete; not used in Playset.</t>
  </si>
  <si>
    <t>^^ Temporary numbers based off level flight and min/max speeds.</t>
  </si>
  <si>
    <t>SAC; pg 1-128</t>
  </si>
  <si>
    <t>31,716 lbs</t>
  </si>
  <si>
    <t>LAU-10 (3-T)</t>
  </si>
  <si>
    <t>MK-82 (6-M)</t>
  </si>
  <si>
    <t>MK-82 (3-T)</t>
  </si>
  <si>
    <t>MK-83 (2-T)</t>
  </si>
  <si>
    <t>MK-83 (3-T)</t>
  </si>
  <si>
    <t>M117 (3-T)</t>
  </si>
  <si>
    <t>Fuel - 600 Gal</t>
  </si>
  <si>
    <t>ALQ-131</t>
  </si>
  <si>
    <t>MK-4</t>
  </si>
  <si>
    <t>Gun Pod</t>
  </si>
  <si>
    <t>M117 (5-M)</t>
  </si>
  <si>
    <t>5-M = Multiple Ejection Rack (i.e. five bombs)</t>
  </si>
  <si>
    <t>AGM-45s</t>
  </si>
  <si>
    <t>AGM-12Cs</t>
  </si>
  <si>
    <t>AGM-12Bs</t>
  </si>
  <si>
    <t>LAU-3/A (3-T)</t>
  </si>
  <si>
    <t>LAU-10/A (3-T)</t>
  </si>
  <si>
    <t>CBU-24 (3-T)</t>
  </si>
  <si>
    <t>4-M = Multiple Ejection Rack (i.e. four bombs)</t>
  </si>
  <si>
    <t>CBU-24 (4-M)</t>
  </si>
  <si>
    <t>CBU-24 (2-T)</t>
  </si>
  <si>
    <t>LAU-32/A (3-T)</t>
  </si>
  <si>
    <t>BLU-1/B (2-T)</t>
  </si>
  <si>
    <t>Released in Playset v 3.5</t>
  </si>
  <si>
    <t>Released in Playset v 3.7</t>
  </si>
  <si>
    <t>BLU-1/B (3-T)</t>
  </si>
  <si>
    <t>M116A2 (2-T)</t>
  </si>
  <si>
    <t>M116A2 (3-T)</t>
  </si>
  <si>
    <t>BLU-27/B (2-T)</t>
  </si>
  <si>
    <t>19 x 2.75-in Rockets</t>
  </si>
  <si>
    <t>429 lbs</t>
  </si>
  <si>
    <t>173 lbs</t>
  </si>
  <si>
    <t>250 lbs</t>
  </si>
  <si>
    <t>1,000 lbs</t>
  </si>
  <si>
    <t>MK-81 (6-M)</t>
  </si>
  <si>
    <t>MK-81 (3-T)</t>
  </si>
  <si>
    <t>M117 (4-M)</t>
  </si>
  <si>
    <t xml:space="preserve">  4 X 5.0-in Rockets</t>
  </si>
  <si>
    <t xml:space="preserve">  7 x 2.75-in Rockets</t>
  </si>
  <si>
    <t>20-mm Vulcan Gun Pod</t>
  </si>
  <si>
    <t>521 lbs</t>
  </si>
  <si>
    <t>1,789 lbs</t>
  </si>
  <si>
    <t>580 lbs</t>
  </si>
  <si>
    <t>395 lbs</t>
  </si>
  <si>
    <t>885 lbs</t>
  </si>
  <si>
    <t>700 lbs</t>
  </si>
  <si>
    <t>697 lbs</t>
  </si>
  <si>
    <t>B28</t>
  </si>
  <si>
    <t>B43</t>
  </si>
  <si>
    <t>B57</t>
  </si>
  <si>
    <t>Tactical Nuke</t>
  </si>
  <si>
    <t>2,170 lbs</t>
  </si>
  <si>
    <t>2,025 lbs</t>
  </si>
  <si>
    <t>850 lbs</t>
  </si>
  <si>
    <t>455 lbs</t>
  </si>
  <si>
    <t>155 lbs</t>
  </si>
  <si>
    <t>BLU-27</t>
  </si>
  <si>
    <t>B43, -57, -61</t>
  </si>
  <si>
    <t xml:space="preserve">ALE-38, -40 </t>
  </si>
  <si>
    <t>Pave Spike</t>
  </si>
  <si>
    <t>1,000-lbs</t>
  </si>
  <si>
    <t>275 Gal</t>
  </si>
  <si>
    <t>250-lbs</t>
  </si>
  <si>
    <t>G Limits, clean</t>
  </si>
  <si>
    <t>IR A-A</t>
  </si>
  <si>
    <t>Cluster Bomb</t>
  </si>
  <si>
    <t>CBU-24/B</t>
  </si>
  <si>
    <t>19  x  2.75-in</t>
  </si>
  <si>
    <t>LAU-3/A</t>
  </si>
  <si>
    <t>LAU-32/A</t>
  </si>
  <si>
    <t xml:space="preserve">  7  x  2.75-in</t>
  </si>
  <si>
    <t>FB-111</t>
  </si>
  <si>
    <t>10 ft/sec</t>
  </si>
  <si>
    <t>Basic Wt, incl: crew, unusable fuel, etc.. No Pavetack. Incl. Bay Gun for -D model.</t>
  </si>
  <si>
    <t>Basic Wt, incl: crew, unusable fuel, etc.. With Pavetack</t>
  </si>
  <si>
    <t>(lbs) Total</t>
  </si>
  <si>
    <t>TF30-PW-7</t>
  </si>
  <si>
    <t>Left Pylon</t>
  </si>
  <si>
    <t>Right Pylon</t>
  </si>
  <si>
    <t>Type</t>
  </si>
  <si>
    <t>Class</t>
  </si>
  <si>
    <t>195 lbs</t>
  </si>
  <si>
    <t>830 lbs</t>
  </si>
  <si>
    <t>Cluster</t>
  </si>
  <si>
    <t>Bomb</t>
  </si>
  <si>
    <t>470 lbs</t>
  </si>
  <si>
    <t>531 lbs</t>
  </si>
  <si>
    <t>500-lbs</t>
  </si>
  <si>
    <t>806 lbs</t>
  </si>
  <si>
    <t>750-lbs</t>
  </si>
  <si>
    <t>1,971 lbs</t>
  </si>
  <si>
    <t>2,000-lbs</t>
  </si>
  <si>
    <t>Tactical</t>
  </si>
  <si>
    <t>2,120 lbs</t>
  </si>
  <si>
    <t>715 lbs</t>
  </si>
  <si>
    <t>B61</t>
  </si>
  <si>
    <t>Fuel Tank</t>
  </si>
  <si>
    <t>Middle Wing</t>
  </si>
  <si>
    <t>AGM-69A</t>
  </si>
  <si>
    <t>Cruise</t>
  </si>
  <si>
    <t>Station 2, 7</t>
  </si>
  <si>
    <t>Station 3, 6</t>
  </si>
  <si>
    <t>Station 4, 5</t>
  </si>
  <si>
    <t>600-Gal</t>
  </si>
  <si>
    <t>xx lbs empty</t>
  </si>
  <si>
    <t>AN/ALQ-137</t>
  </si>
  <si>
    <t>pg 5-29</t>
  </si>
  <si>
    <t>Side Pylon</t>
  </si>
  <si>
    <t>Station 3A, 6A</t>
  </si>
  <si>
    <t>IR  A-A</t>
  </si>
  <si>
    <t>BLU-107</t>
  </si>
  <si>
    <t>BLU-109</t>
  </si>
  <si>
    <t>Anti-Runway</t>
  </si>
  <si>
    <t>1,927 lbs</t>
  </si>
  <si>
    <t>Hardened</t>
  </si>
  <si>
    <t>Penetration</t>
  </si>
  <si>
    <t>CBU-87,-89</t>
  </si>
  <si>
    <t>GBU-12</t>
  </si>
  <si>
    <t>GBU-24</t>
  </si>
  <si>
    <t>GBU-28</t>
  </si>
  <si>
    <t>GBU-15</t>
  </si>
  <si>
    <t>EO Bomb</t>
  </si>
  <si>
    <t>LG Bomb</t>
  </si>
  <si>
    <t>AGM-65A B D</t>
  </si>
  <si>
    <t>A-G</t>
  </si>
  <si>
    <t>Station 3, 4, 6, 7</t>
  </si>
  <si>
    <t>A-A Pylon</t>
  </si>
  <si>
    <t>SARH  A-A</t>
  </si>
  <si>
    <t>610-Gal</t>
  </si>
  <si>
    <r>
      <t>F-15A/C</t>
    </r>
    <r>
      <rPr>
        <u val="single"/>
        <sz val="10"/>
        <rFont val="Arial"/>
        <family val="2"/>
      </rPr>
      <t xml:space="preserve"> </t>
    </r>
  </si>
  <si>
    <t>pg A1-5; 5-8A</t>
  </si>
  <si>
    <t>28,500 lbs</t>
  </si>
  <si>
    <t>320 lbs empty</t>
  </si>
  <si>
    <t>4,286 lbs</t>
  </si>
  <si>
    <t>M61 Vulcan Cannon</t>
  </si>
  <si>
    <t>940 rounds</t>
  </si>
  <si>
    <t>Note: I did not add CFT configurations for F-15A, -C.</t>
  </si>
  <si>
    <t>0.565 lbs per live 20-mm round.</t>
  </si>
  <si>
    <t>pg 5-11; A1-5</t>
  </si>
  <si>
    <t>pg A3-15</t>
  </si>
  <si>
    <t>143 kcas</t>
  </si>
  <si>
    <t>150 kcas</t>
  </si>
  <si>
    <t>110 kcas</t>
  </si>
  <si>
    <t>121 kcas</t>
  </si>
  <si>
    <t>Combat ceiling is the pressure altitude</t>
  </si>
  <si>
    <t xml:space="preserve">  at which the aircraft can climb at a </t>
  </si>
  <si>
    <t xml:space="preserve">  maximum rate of 500 feet per minute.</t>
  </si>
  <si>
    <t>Ceiling, Combat - max thrust</t>
  </si>
  <si>
    <t>61,200 ft</t>
  </si>
  <si>
    <t>pg A4-9</t>
  </si>
  <si>
    <t>@ 30,000 lbs wt; 0 drag</t>
  </si>
  <si>
    <t>pg A9-4C</t>
  </si>
  <si>
    <t xml:space="preserve">   permissible, 34,000 ft</t>
  </si>
  <si>
    <t xml:space="preserve">   permissible, 45,000 ft</t>
  </si>
  <si>
    <t>1,291 ktas</t>
  </si>
  <si>
    <t>1,434 ktas</t>
  </si>
  <si>
    <t>Maximum Airspeed, Vn (Design Limit)</t>
  </si>
  <si>
    <t>** Either these values are incorrect, or the F-15 is really a pig to fly. **</t>
  </si>
  <si>
    <r>
      <t xml:space="preserve">^^ Values based on charts: pg A1-8 </t>
    </r>
    <r>
      <rPr>
        <sz val="8"/>
        <rFont val="Arial"/>
        <family val="2"/>
      </rPr>
      <t>(248 of 415)</t>
    </r>
    <r>
      <rPr>
        <sz val="10"/>
        <rFont val="Arial"/>
        <family val="0"/>
      </rPr>
      <t xml:space="preserve">, A9-4C </t>
    </r>
    <r>
      <rPr>
        <sz val="8"/>
        <rFont val="Arial"/>
        <family val="2"/>
      </rPr>
      <t>(346 of 415)</t>
    </r>
    <r>
      <rPr>
        <sz val="9"/>
        <rFont val="Arial"/>
        <family val="2"/>
      </rPr>
      <t>,</t>
    </r>
    <r>
      <rPr>
        <sz val="10"/>
        <rFont val="Arial"/>
        <family val="0"/>
      </rPr>
      <t xml:space="preserve"> and A9-35 </t>
    </r>
    <r>
      <rPr>
        <sz val="8"/>
        <rFont val="Arial"/>
        <family val="2"/>
      </rPr>
      <t>(387 of 415).</t>
    </r>
  </si>
  <si>
    <t>Normal, Full Flaps, Max Thrust, 30,000 lbs</t>
  </si>
  <si>
    <t>Normal, Full Flaps, Max Thrust, 35,000 lbs</t>
  </si>
  <si>
    <t>Max, Full Flaps, Max Thrust, 30,000 lbs</t>
  </si>
  <si>
    <t>Max, Full Flaps, Max Thrust, 35,000 lbs</t>
  </si>
  <si>
    <t>Maximum Airspeed, Level Flight, A/B, 35k lbs GW, 0 Drag</t>
  </si>
  <si>
    <t>Standard Day (STD)</t>
  </si>
  <si>
    <t>1,285 ktas</t>
  </si>
  <si>
    <t xml:space="preserve">   760 ktas</t>
  </si>
  <si>
    <t>Maximum Airspeed, Level Flight, MIL, 35k lbs GW, 0 Drag</t>
  </si>
  <si>
    <t>28,500 ft</t>
  </si>
  <si>
    <t>608 ktas</t>
  </si>
  <si>
    <t>645 ktas</t>
  </si>
  <si>
    <t>pg 5-2; A9-35</t>
  </si>
  <si>
    <r>
      <t>^^ High speeds for 1G are (+10) higher than actual chart for game purposes.</t>
    </r>
    <r>
      <rPr>
        <sz val="10"/>
        <color indexed="10"/>
        <rFont val="Arial"/>
        <family val="2"/>
      </rPr>
      <t xml:space="preserve"> [Not Yet]</t>
    </r>
  </si>
  <si>
    <t>AGM-65G</t>
  </si>
  <si>
    <t>AGM-130</t>
  </si>
  <si>
    <t>Pavetack Pod</t>
  </si>
  <si>
    <t>x</t>
  </si>
  <si>
    <t>M118</t>
  </si>
  <si>
    <t>3,000-lbs</t>
  </si>
  <si>
    <t>3,049 lbs</t>
  </si>
  <si>
    <t>AN/ALQ-87</t>
  </si>
  <si>
    <t>-101, or -119</t>
  </si>
  <si>
    <t>pg 5-34</t>
  </si>
  <si>
    <t>F-111A</t>
  </si>
  <si>
    <t>pg 5-22</t>
  </si>
  <si>
    <t>200 kts</t>
  </si>
  <si>
    <t>295 kias</t>
  </si>
  <si>
    <t>Thrust</t>
  </si>
  <si>
    <t>kN</t>
  </si>
  <si>
    <t>1 lbf = 0.004448 kN</t>
  </si>
  <si>
    <t>lbf</t>
  </si>
  <si>
    <t>frequency adjustable, air-to-ground, anti-radiation missile that may be loaded on weapon</t>
  </si>
  <si>
    <t>Source: F-16A/B Mid-life update, pg 81.</t>
  </si>
  <si>
    <t>Notes:</t>
  </si>
  <si>
    <t>The High Speed Anti-Radiation Missile (HARM) (AGM-88) is a programmable,</t>
  </si>
  <si>
    <t>stations 3, 4, 6 and 7; however, it is only flight certified on stations 3 and 7.</t>
  </si>
  <si>
    <t>1 kN = 224.80894 lbf</t>
  </si>
  <si>
    <t>Volume</t>
  </si>
  <si>
    <t>L</t>
  </si>
  <si>
    <t>Gal</t>
  </si>
  <si>
    <t>1 L = 0.264172 gal</t>
  </si>
  <si>
    <t>1 Gal = 3.78541 L</t>
  </si>
  <si>
    <t>kg</t>
  </si>
  <si>
    <t>lbs</t>
  </si>
  <si>
    <t>1 kg = 2.205 lbs</t>
  </si>
  <si>
    <t>1 lb = 0.454 kg</t>
  </si>
  <si>
    <t>AIM-120</t>
  </si>
  <si>
    <t>TF30-PW-1</t>
  </si>
  <si>
    <t>pg 4-30</t>
  </si>
  <si>
    <t>photos</t>
  </si>
  <si>
    <t>260 kias</t>
  </si>
  <si>
    <t>M61</t>
  </si>
  <si>
    <t>20-mm Vulcan Cannon</t>
  </si>
  <si>
    <t>Maximum Tire Speed</t>
  </si>
  <si>
    <t>pg A2-11</t>
  </si>
  <si>
    <t>pg A1-5</t>
  </si>
  <si>
    <t>pg 5-15</t>
  </si>
  <si>
    <t>149 kcas</t>
  </si>
  <si>
    <t>pg 6-10</t>
  </si>
  <si>
    <t>Wingtip</t>
  </si>
  <si>
    <t>pg 5-8</t>
  </si>
  <si>
    <t>Max. Tire Speed</t>
  </si>
  <si>
    <t>JP-4 (6.5 lbs/gal)</t>
  </si>
  <si>
    <t>pg 5-10</t>
  </si>
  <si>
    <t>129 kias</t>
  </si>
  <si>
    <t>pg 5-13</t>
  </si>
  <si>
    <t>N/A</t>
  </si>
  <si>
    <t>AGM-84A</t>
  </si>
  <si>
    <t>AGM-84H/K</t>
  </si>
  <si>
    <t>AR  A-G</t>
  </si>
  <si>
    <t>GPS  A-G</t>
  </si>
  <si>
    <t>* includes Data Link in order to change targets mid-flight.</t>
  </si>
  <si>
    <t>TAS = M (mach number) x c (speed of sound)</t>
  </si>
  <si>
    <t>Radar</t>
  </si>
  <si>
    <t>F-111F</t>
  </si>
  <si>
    <t xml:space="preserve">   permissible, 50,000 ft</t>
  </si>
  <si>
    <t xml:space="preserve">   permissible, S/L</t>
  </si>
  <si>
    <t>793 ktas</t>
  </si>
  <si>
    <t>1,433 ktas</t>
  </si>
  <si>
    <t>330 kias</t>
  </si>
  <si>
    <t>pg 6-17</t>
  </si>
  <si>
    <t>Max. Tire Speed, Emergency Lndg</t>
  </si>
  <si>
    <t>Maximum Sink Rate</t>
  </si>
  <si>
    <t>100,000 lbs</t>
  </si>
  <si>
    <t>49,900 lbs</t>
  </si>
  <si>
    <t>51,700 lbs</t>
  </si>
  <si>
    <t>pg 1-4; 5-4</t>
  </si>
  <si>
    <t>TF30-PW-100</t>
  </si>
  <si>
    <t>EF-111A</t>
  </si>
  <si>
    <t>TF30-PW-3</t>
  </si>
  <si>
    <t>F-111D</t>
  </si>
  <si>
    <t>TF30-PW-9</t>
  </si>
  <si>
    <t>49,700 lbs</t>
  </si>
  <si>
    <t>*from F-111D</t>
  </si>
  <si>
    <t>56,835 lbs</t>
  </si>
  <si>
    <t>pg FO-15</t>
  </si>
  <si>
    <t>pg 1-2; 5-3</t>
  </si>
  <si>
    <t>FB-111A</t>
  </si>
  <si>
    <t>Internal Usable Fuel (Gal), w/ Weapon Bay tanks included</t>
  </si>
  <si>
    <t>FB-111A Flight Manual (1977)</t>
  </si>
  <si>
    <t>F-111D Flight Manual (1980)</t>
  </si>
  <si>
    <t>F-111F Flight Manual (1995)</t>
  </si>
  <si>
    <t>F-111A Flight Manual (1966)</t>
  </si>
  <si>
    <t>*T.O. 1F-111-1162</t>
  </si>
  <si>
    <t>Attack Radar</t>
  </si>
  <si>
    <t>pg 1-134</t>
  </si>
  <si>
    <t>284.6 gal</t>
  </si>
  <si>
    <t>299.7 gal</t>
  </si>
  <si>
    <t>usable fuel</t>
  </si>
  <si>
    <t>+ 5.0; - xx</t>
  </si>
  <si>
    <t>+ 7.33; - xx</t>
  </si>
  <si>
    <t>pg 6-18</t>
  </si>
  <si>
    <t>164 kias</t>
  </si>
  <si>
    <t>pg 1-5; 5-3</t>
  </si>
  <si>
    <t>EO A-G</t>
  </si>
  <si>
    <t>AGM-12</t>
  </si>
  <si>
    <t>Notes</t>
  </si>
  <si>
    <t>Laser Designator Pod</t>
  </si>
  <si>
    <t>Durandal</t>
  </si>
  <si>
    <t>Take Off Speed</t>
  </si>
  <si>
    <t>Operating Wt</t>
  </si>
  <si>
    <t>F100-PW-100</t>
  </si>
  <si>
    <t>F100-PW-220</t>
  </si>
  <si>
    <t>pg 1-14</t>
  </si>
  <si>
    <t>+9.0; -3.0</t>
  </si>
  <si>
    <t>68,000 lbs</t>
  </si>
  <si>
    <t>300 kts</t>
  </si>
  <si>
    <t>M</t>
  </si>
  <si>
    <t>Pod</t>
  </si>
  <si>
    <t>GBU-10 LGB</t>
  </si>
  <si>
    <t>GBU-10</t>
  </si>
  <si>
    <t>GP</t>
  </si>
  <si>
    <t>55,000 ft</t>
  </si>
  <si>
    <t>Sta 2A/B &amp; 8A/B</t>
  </si>
  <si>
    <t>pg 5-19; B1-5</t>
  </si>
  <si>
    <t>Note: I listed CFT configuration only for F-15E;</t>
  </si>
  <si>
    <t xml:space="preserve">  for non-CFT configuration, see F-15C.</t>
  </si>
  <si>
    <t>Note: Outer wing pylons, stations 1 &amp; 9, are not used.</t>
  </si>
  <si>
    <r>
      <t>A-A</t>
    </r>
    <r>
      <rPr>
        <u val="single"/>
        <sz val="10"/>
        <rFont val="Arial"/>
        <family val="2"/>
      </rPr>
      <t xml:space="preserve"> Pylons</t>
    </r>
  </si>
  <si>
    <t>Outboard</t>
  </si>
  <si>
    <t>CFT Pylons</t>
  </si>
  <si>
    <t>Inboard</t>
  </si>
  <si>
    <t>CFT 1, 2, 3</t>
  </si>
  <si>
    <t>CFT 4, 5, 6</t>
  </si>
  <si>
    <t>AR  A-A</t>
  </si>
  <si>
    <t>AGM-65</t>
  </si>
  <si>
    <t>-A, -B, -D, -G</t>
  </si>
  <si>
    <t>EO GB</t>
  </si>
  <si>
    <t>CBU-87</t>
  </si>
  <si>
    <t>CBU-89</t>
  </si>
  <si>
    <t>338 lbs</t>
  </si>
  <si>
    <t>2,081 lbs</t>
  </si>
  <si>
    <t>2,502 lbs</t>
  </si>
  <si>
    <t>2,323 lbs</t>
  </si>
  <si>
    <t>4,576 lbs</t>
  </si>
  <si>
    <t>950 lbs</t>
  </si>
  <si>
    <t>706 lbs</t>
  </si>
  <si>
    <t>751 lbs</t>
  </si>
  <si>
    <t>494 lbs</t>
  </si>
  <si>
    <t>687 lbs</t>
  </si>
  <si>
    <t>5,000-lbs</t>
  </si>
  <si>
    <t>Paveway III</t>
  </si>
  <si>
    <t>Paveway II</t>
  </si>
  <si>
    <t>pg 5-3</t>
  </si>
  <si>
    <t>F-117A</t>
  </si>
  <si>
    <t>F-117A Flight Manual (1992)</t>
  </si>
  <si>
    <r>
      <t xml:space="preserve">F-117A </t>
    </r>
    <r>
      <rPr>
        <sz val="10"/>
        <color indexed="12"/>
        <rFont val="Arial"/>
        <family val="2"/>
      </rPr>
      <t>U</t>
    </r>
    <r>
      <rPr>
        <sz val="10"/>
        <rFont val="Arial"/>
        <family val="2"/>
      </rPr>
      <t>tility Flight Manual (1992)</t>
    </r>
  </si>
  <si>
    <t>F404-GE-F1D2</t>
  </si>
  <si>
    <t>Basic Wt, incl: crew, unusable fuel, etc..</t>
  </si>
  <si>
    <t>52,500 lbs</t>
  </si>
  <si>
    <t>300 kcas</t>
  </si>
  <si>
    <t>Minimum Airspeed, permissible</t>
  </si>
  <si>
    <t>525 kcas</t>
  </si>
  <si>
    <t>Maximum Altitude, permissible</t>
  </si>
  <si>
    <t>35,000 ft</t>
  </si>
  <si>
    <t>+ 4.5; -1</t>
  </si>
  <si>
    <t>216 kts</t>
  </si>
  <si>
    <t>pg 6-2</t>
  </si>
  <si>
    <t>+ 6; -2</t>
  </si>
  <si>
    <t>G limit,</t>
  </si>
  <si>
    <t xml:space="preserve"> design limit</t>
  </si>
  <si>
    <t>*7g possible above 500 kcas at low altitude</t>
  </si>
  <si>
    <t xml:space="preserve"> @ 46,000 lbs</t>
  </si>
  <si>
    <t>192 kcas</t>
  </si>
  <si>
    <t xml:space="preserve"> @ 52,000 lbs</t>
  </si>
  <si>
    <t>pg A3-4; A3-8</t>
  </si>
  <si>
    <t>204 kcas</t>
  </si>
  <si>
    <t xml:space="preserve"> @ 33,000 lbs</t>
  </si>
  <si>
    <t>160 kcas</t>
  </si>
  <si>
    <t>Take-Off Speed, 2 Engine, Normal, STD, S/L</t>
  </si>
  <si>
    <t>176 kcas</t>
  </si>
  <si>
    <t xml:space="preserve"> @ 39,000 lbs</t>
  </si>
  <si>
    <t>pg 5-8; A4-6</t>
  </si>
  <si>
    <t>Touchdown Speed, Normal, 36,000 lbs</t>
  </si>
  <si>
    <t>pg A8-2; A8-5</t>
  </si>
  <si>
    <t xml:space="preserve"> @ Sea Level, all weights</t>
  </si>
  <si>
    <t xml:space="preserve"> @   4,500 ft, all weights</t>
  </si>
  <si>
    <t xml:space="preserve"> @ 25,000 ft, all weights</t>
  </si>
  <si>
    <t xml:space="preserve"> @ 36,000 ft, less than 34,000 lbs</t>
  </si>
  <si>
    <t>pg A9-30</t>
  </si>
  <si>
    <t>562 ktas</t>
  </si>
  <si>
    <t>597 ktas</t>
  </si>
  <si>
    <t>539 ktas</t>
  </si>
  <si>
    <t>496 ktas</t>
  </si>
  <si>
    <t xml:space="preserve"> *Chart values given in kcas.</t>
  </si>
  <si>
    <t xml:space="preserve"> @ 8,000 ft</t>
  </si>
  <si>
    <t>0.9 M = 525 kcas = 579 ktas</t>
  </si>
  <si>
    <t>Maximum Level Flight Speed, STD</t>
  </si>
  <si>
    <t>Chaff/Flare</t>
  </si>
  <si>
    <t>Speed Brake</t>
  </si>
  <si>
    <t>pg 2-12</t>
  </si>
  <si>
    <t>*Radar Altimeter only.</t>
  </si>
  <si>
    <t>pg 4-33</t>
  </si>
  <si>
    <t>Maximum Airspeed, permissible</t>
  </si>
  <si>
    <t>140 kcas</t>
  </si>
  <si>
    <t>217 kts</t>
  </si>
  <si>
    <t>Outer Wing</t>
  </si>
  <si>
    <t>Inner Wing</t>
  </si>
  <si>
    <t>MK-20</t>
  </si>
  <si>
    <t>1G</t>
  </si>
  <si>
    <t>2G</t>
  </si>
  <si>
    <t>3G</t>
  </si>
  <si>
    <t>4G</t>
  </si>
  <si>
    <t>Altitude</t>
  </si>
  <si>
    <t>Mach 1</t>
  </si>
  <si>
    <t>Sea Level</t>
  </si>
  <si>
    <t>5G</t>
  </si>
  <si>
    <t>6G</t>
  </si>
  <si>
    <t>Knots</t>
  </si>
  <si>
    <t>MPH</t>
  </si>
  <si>
    <t>7G</t>
  </si>
  <si>
    <t>-1G</t>
  </si>
  <si>
    <t>-2G</t>
  </si>
  <si>
    <t>-3G</t>
  </si>
  <si>
    <t>0G</t>
  </si>
  <si>
    <t>*Note: the speed listed in the Real V column is what appears in the hud when flying.</t>
  </si>
  <si>
    <t>Feet/Sec</t>
  </si>
  <si>
    <t>1 kt = 1.688 fps</t>
  </si>
  <si>
    <t>1 mph = 1.467 fps</t>
  </si>
  <si>
    <r>
      <t xml:space="preserve">FA V </t>
    </r>
    <r>
      <rPr>
        <sz val="8"/>
        <rFont val="Arial"/>
        <family val="2"/>
      </rPr>
      <t>(ft/sec)</t>
    </r>
  </si>
  <si>
    <t>&lt;--- Value</t>
  </si>
  <si>
    <r>
      <t xml:space="preserve">1G </t>
    </r>
    <r>
      <rPr>
        <sz val="10"/>
        <rFont val="Arial"/>
        <family val="2"/>
      </rPr>
      <t>Pre-mod</t>
    </r>
  </si>
  <si>
    <t>Numbers from chart prior to FA modded numbers for structural failure limits.</t>
  </si>
  <si>
    <t>^^ 0G numbers are just outside the 1G numbers (lower numbers smaller, higher numbers bigger).</t>
  </si>
  <si>
    <t>9G</t>
  </si>
  <si>
    <t>8G</t>
  </si>
  <si>
    <t>1 kt = 1.151 mph</t>
  </si>
  <si>
    <t>1 mph = 0.869 kt</t>
  </si>
  <si>
    <t>1 fps = 0.592 kt</t>
  </si>
  <si>
    <t>1 fps = 0.682 mph</t>
  </si>
  <si>
    <t>^^ 0G Real V numbers linked mathmatically to 1G's numbers.</t>
  </si>
  <si>
    <t>Ref: http://www.aerospaceweb.org/question/atmosphere/q0112.shtml</t>
  </si>
  <si>
    <t>Empty Wt</t>
  </si>
  <si>
    <t>Centerline</t>
  </si>
  <si>
    <t>750 lbs</t>
  </si>
  <si>
    <t>MK-82</t>
  </si>
  <si>
    <t>MK-83</t>
  </si>
  <si>
    <t>MK-81</t>
  </si>
  <si>
    <t>LAU-10</t>
  </si>
  <si>
    <t>Density</t>
  </si>
  <si>
    <t>lbs/ft3</t>
  </si>
  <si>
    <t>*True Air Speed (TAS) increases, but Indicated Air Speed (IAS) remains the same.</t>
  </si>
  <si>
    <t>^^ High speeds for 1G are higher (+10) than actual chart for game purposes.</t>
  </si>
  <si>
    <r>
      <t>Real V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(KTAS)</t>
    </r>
  </si>
  <si>
    <t>Pressure</t>
  </si>
  <si>
    <t>in Hg</t>
  </si>
  <si>
    <t>Table:</t>
  </si>
  <si>
    <t>Ratio</t>
  </si>
  <si>
    <t>Temperature</t>
  </si>
  <si>
    <t>Fahrenheit</t>
  </si>
  <si>
    <t>Speed of</t>
  </si>
  <si>
    <t>Sound Ratio</t>
  </si>
  <si>
    <t>Std. Altitude</t>
  </si>
  <si>
    <t>F-4E manual list JP-4 weight as 6.5 lbs/gal.</t>
  </si>
  <si>
    <t>F-4J manual list JP-5 weight as 6.8 lbs/gal.</t>
  </si>
  <si>
    <t>F-5E manual list JP-4 weight as 6.5 lbs/gal.</t>
  </si>
  <si>
    <t>F-5E manual does not list JP-5 weight.</t>
  </si>
  <si>
    <t>F-15E manual list JP-4 weight as 6.5 lbs/gal.</t>
  </si>
  <si>
    <t>F-15E manual list JP-5 weight as 6.8 lbs/gal.</t>
  </si>
  <si>
    <t>F-16 Blk 50 manual list JP-4 weight as 6.5 lbs/gal.</t>
  </si>
  <si>
    <t>F-16 Blk 50 manual list JP-5 weight as 6.8 lbs/gal.</t>
  </si>
  <si>
    <t>F-111D manual list JP-4 weight as 6.5 lbs/gal.</t>
  </si>
  <si>
    <t>F-111D manual list JP-5 weight as 6.8 lbs/gal.</t>
  </si>
  <si>
    <t>F-117 manual list JP-4 weight as 6.5 lbs/gal.</t>
  </si>
  <si>
    <t>F-117 manual does not list JP-5 weight.</t>
  </si>
  <si>
    <t>CBU-24</t>
  </si>
  <si>
    <t xml:space="preserve">CAS = Calibrated Air Speed; indicated air speed that has been adjusted for errors in position and equipment. </t>
  </si>
  <si>
    <t>EAS = Equivalent Air Speed; calibrated air speed adjusted to consider the effects of air compressibility above 200 knots and 10,000 ft.</t>
  </si>
  <si>
    <t>TAS = True Air Speed; the actual speed through the air at which the aircraft is flying.</t>
  </si>
  <si>
    <t>F15A Blk 7</t>
  </si>
  <si>
    <t>F-15C</t>
  </si>
  <si>
    <t>F-15A, -B, -C, -D  Blk 7 &amp; up (1984)</t>
  </si>
  <si>
    <t>F-15E</t>
  </si>
  <si>
    <t>F-15A</t>
  </si>
  <si>
    <t>IAS = Indicated Air Speed; air speed indicated on the airspeed indicator (gauge), based on differential pressure of pitot and static ports.</t>
  </si>
  <si>
    <t>Notes on Air Speed:</t>
  </si>
  <si>
    <t>* CAS is usually within a few knots of IAS.</t>
  </si>
  <si>
    <t>* EAS decreases from CAS slightly while altitude increases and/or at high speeds.</t>
  </si>
  <si>
    <t>* EAS being constant, TAS increases as altitude increases.</t>
  </si>
  <si>
    <t>*CAS and EAS are nearly equal up to 200 knots and up to 10,000 ft.</t>
  </si>
  <si>
    <t>*TAS Rule of thumb is 2% increase per 1,000 ft, but only works for under 200 knots and under 10,000 feet.</t>
  </si>
  <si>
    <r>
      <t>Blue</t>
    </r>
    <r>
      <rPr>
        <sz val="10"/>
        <rFont val="Arial"/>
        <family val="0"/>
      </rPr>
      <t xml:space="preserve"> = Hochwarth calculator</t>
    </r>
  </si>
  <si>
    <t>TAS calculator at http://www.hochwarth.com/misc/AviationCalculator.html#CASMachTASEAS</t>
  </si>
  <si>
    <t>21,000 lbs</t>
  </si>
  <si>
    <t>sfc</t>
  </si>
  <si>
    <t>Guns</t>
  </si>
  <si>
    <t>Engine</t>
  </si>
  <si>
    <t>Max. T-O</t>
  </si>
  <si>
    <t>fuel use (lbs/sec)</t>
  </si>
  <si>
    <t>Mil thrust (lbs)</t>
  </si>
  <si>
    <t>A/B thrust (lbs)</t>
  </si>
  <si>
    <t>JP-5 (6.8 lbs/gal)</t>
  </si>
  <si>
    <t>Internal Usable Fuel (Gal)</t>
  </si>
  <si>
    <t>Outer</t>
  </si>
  <si>
    <t>Incomplete, not used in game.</t>
  </si>
  <si>
    <t>Inner</t>
  </si>
  <si>
    <t>Pylon</t>
  </si>
  <si>
    <t>ECM</t>
  </si>
  <si>
    <t>Rockets</t>
  </si>
  <si>
    <t>Weapons</t>
  </si>
  <si>
    <t>Bomb Bay</t>
  </si>
  <si>
    <t>Nuke</t>
  </si>
  <si>
    <t>BLU-1/B</t>
  </si>
  <si>
    <t>* The quantities given for wing pylons are for each side.*</t>
  </si>
  <si>
    <t>ECM Pod</t>
  </si>
  <si>
    <t>Basic Wt</t>
  </si>
  <si>
    <t>36,000 ft</t>
  </si>
  <si>
    <t>Engines</t>
  </si>
  <si>
    <t>SAC</t>
  </si>
  <si>
    <t>pg 5-4</t>
  </si>
  <si>
    <t>pg 5-6</t>
  </si>
  <si>
    <t>pg 1-11</t>
  </si>
  <si>
    <t>pg 1-2</t>
  </si>
  <si>
    <t>^^ "Negative G flight is limited to 10 seconds…"  pg 5-4</t>
  </si>
  <si>
    <t>^^ No Negative G values given in manual. Values above</t>
  </si>
  <si>
    <r>
      <t xml:space="preserve">     are </t>
    </r>
    <r>
      <rPr>
        <sz val="10"/>
        <color indexed="53"/>
        <rFont val="Arial"/>
        <family val="2"/>
      </rPr>
      <t>guestimate</t>
    </r>
    <r>
      <rPr>
        <sz val="10"/>
        <rFont val="Arial"/>
        <family val="0"/>
      </rPr>
      <t xml:space="preserve"> calculations based off of Pos G values.</t>
    </r>
  </si>
  <si>
    <t>F-15E Flight Manual (1993)</t>
  </si>
  <si>
    <t>37,500 lbs</t>
  </si>
  <si>
    <t xml:space="preserve">  Basic Wt + pilot, oil, and unusable fuel. F-15A/C, no CFTs. F-15E, w/ CFTs.</t>
  </si>
  <si>
    <t>81,000 lbs</t>
  </si>
  <si>
    <t>pg 1-17</t>
  </si>
  <si>
    <t>210 kts</t>
  </si>
  <si>
    <t>F-15E  pg 5-13</t>
  </si>
  <si>
    <t xml:space="preserve"> 9 ft/sec</t>
  </si>
  <si>
    <t>@ 41,000 lbs</t>
  </si>
  <si>
    <t>@ 35,000 lbs or less</t>
  </si>
  <si>
    <t>F-15E  pg 5-7</t>
  </si>
  <si>
    <t>@ 40,000 lbs wt; 0 drag</t>
  </si>
  <si>
    <t>289 lbs</t>
  </si>
  <si>
    <t>512 rounds</t>
  </si>
  <si>
    <t>pg B1-8</t>
  </si>
  <si>
    <t>Normal, Full Flaps, Max Thrust, 40,000 lbs</t>
  </si>
  <si>
    <t>159 kcas</t>
  </si>
  <si>
    <t>pg B3-28</t>
  </si>
  <si>
    <t>pg B4-9</t>
  </si>
  <si>
    <t>57,000 ft</t>
  </si>
  <si>
    <t>61,500 ft</t>
  </si>
  <si>
    <t>pg B9-8</t>
  </si>
  <si>
    <t>F-15E @ 40,000 lbs</t>
  </si>
  <si>
    <t>1,305 ktas</t>
  </si>
  <si>
    <t>pg B9-18</t>
  </si>
  <si>
    <t>660 ktas</t>
  </si>
  <si>
    <t>32,500 ft</t>
  </si>
  <si>
    <t>670 ktas</t>
  </si>
  <si>
    <t>Landing Gear Extension, max speed</t>
  </si>
  <si>
    <t>pg 5-14; B9-45</t>
  </si>
  <si>
    <t>F-15A/C @ 30,000 lbs</t>
  </si>
  <si>
    <t>F-15E    @ 40,000 lbs</t>
  </si>
  <si>
    <t>+8.4; -2.8</t>
  </si>
  <si>
    <t>None</t>
  </si>
  <si>
    <t>pg 1-12</t>
  </si>
  <si>
    <t>pg 5-5</t>
  </si>
  <si>
    <t>G limit, clean</t>
  </si>
  <si>
    <t>+7.33; -3.0</t>
  </si>
  <si>
    <t>pg 5-7</t>
  </si>
  <si>
    <t>+7.33; -2.85</t>
  </si>
  <si>
    <t>pg 5-10, 6-9</t>
  </si>
  <si>
    <t xml:space="preserve">^^ Negative Gs numbers are a % of positive counterparts. </t>
  </si>
  <si>
    <t xml:space="preserve">     neg G flight for more than 10 seconds causes engine</t>
  </si>
  <si>
    <t xml:space="preserve">     fuel starvation.</t>
  </si>
  <si>
    <t xml:space="preserve">^^ Manual does not give figures; it warns against zero &amp; </t>
  </si>
  <si>
    <t>Gross Wt</t>
  </si>
  <si>
    <t>2,000 lbs</t>
  </si>
  <si>
    <t>-4G</t>
  </si>
  <si>
    <t>10G</t>
  </si>
  <si>
    <t>0.9 M</t>
  </si>
  <si>
    <t>x 2</t>
  </si>
  <si>
    <t xml:space="preserve">Mil thrust </t>
  </si>
  <si>
    <t xml:space="preserve">fuel use </t>
  </si>
  <si>
    <t>J85-GE-13</t>
  </si>
  <si>
    <t>F-5A/B Brochure</t>
  </si>
  <si>
    <t>Brochure</t>
  </si>
  <si>
    <t>J85-GE-5A</t>
  </si>
  <si>
    <t>27,500 lbs</t>
  </si>
  <si>
    <t>(total)</t>
  </si>
  <si>
    <t>(lbs)</t>
  </si>
  <si>
    <t>(lbs/sec)</t>
  </si>
  <si>
    <t xml:space="preserve">  Basic Wt + pilot, oil, and unusable fuel.</t>
  </si>
  <si>
    <t>F-35A</t>
  </si>
  <si>
    <t>F-35B</t>
  </si>
  <si>
    <t>F-35C</t>
  </si>
  <si>
    <t>Station 3 &amp; 9</t>
  </si>
  <si>
    <t>Station 1 &amp; 11</t>
  </si>
  <si>
    <t>Station 2 &amp; 10</t>
  </si>
  <si>
    <t>Bay A-S</t>
  </si>
  <si>
    <t>Station 4 &amp; 8</t>
  </si>
  <si>
    <t>Bay A-A</t>
  </si>
  <si>
    <t>Station 5 &amp; 7</t>
  </si>
  <si>
    <t>Station 6 is the Gun.</t>
  </si>
  <si>
    <t>300 lbs</t>
  </si>
  <si>
    <t>&lt;-- limit, each station.</t>
  </si>
  <si>
    <r>
      <t xml:space="preserve">       </t>
    </r>
    <r>
      <rPr>
        <b/>
        <sz val="8"/>
        <rFont val="Arial"/>
        <family val="2"/>
      </rPr>
      <t xml:space="preserve"> *</t>
    </r>
    <r>
      <rPr>
        <sz val="8"/>
        <rFont val="Arial"/>
        <family val="2"/>
      </rPr>
      <t xml:space="preserve"> The quantities given for </t>
    </r>
    <r>
      <rPr>
        <u val="single"/>
        <sz val="8"/>
        <rFont val="Arial"/>
        <family val="2"/>
      </rPr>
      <t>wing pylons</t>
    </r>
    <r>
      <rPr>
        <sz val="8"/>
        <rFont val="Arial"/>
        <family val="2"/>
      </rPr>
      <t xml:space="preserve"> are for </t>
    </r>
    <r>
      <rPr>
        <u val="single"/>
        <sz val="8"/>
        <rFont val="Arial"/>
        <family val="2"/>
      </rPr>
      <t>each side (station)</t>
    </r>
    <r>
      <rPr>
        <sz val="8"/>
        <rFont val="Arial"/>
        <family val="2"/>
      </rPr>
      <t>.</t>
    </r>
    <r>
      <rPr>
        <b/>
        <sz val="8"/>
        <rFont val="Arial"/>
        <family val="2"/>
      </rPr>
      <t>*</t>
    </r>
  </si>
  <si>
    <t>2,500 lbs</t>
  </si>
  <si>
    <t>5,000 lbs</t>
  </si>
  <si>
    <t>Lockheed-Martin 2018 Fast Facts Sheet</t>
  </si>
  <si>
    <r>
      <t xml:space="preserve">29,300 </t>
    </r>
    <r>
      <rPr>
        <sz val="10"/>
        <color indexed="12"/>
        <rFont val="Arial"/>
        <family val="2"/>
      </rPr>
      <t>lbs</t>
    </r>
  </si>
  <si>
    <r>
      <t xml:space="preserve">32,300 </t>
    </r>
    <r>
      <rPr>
        <sz val="10"/>
        <color indexed="12"/>
        <rFont val="Arial"/>
        <family val="2"/>
      </rPr>
      <t>lbs</t>
    </r>
  </si>
  <si>
    <r>
      <t>34,800</t>
    </r>
    <r>
      <rPr>
        <sz val="10"/>
        <color indexed="12"/>
        <rFont val="Arial"/>
        <family val="2"/>
      </rPr>
      <t xml:space="preserve"> lbs</t>
    </r>
  </si>
  <si>
    <t>Weapons Payload</t>
  </si>
  <si>
    <r>
      <t xml:space="preserve">18,000 </t>
    </r>
    <r>
      <rPr>
        <sz val="10"/>
        <color indexed="12"/>
        <rFont val="Arial"/>
        <family val="2"/>
      </rPr>
      <t>lbs</t>
    </r>
  </si>
  <si>
    <r>
      <t xml:space="preserve">15,000 </t>
    </r>
    <r>
      <rPr>
        <sz val="10"/>
        <color indexed="12"/>
        <rFont val="Arial"/>
        <family val="2"/>
      </rPr>
      <t>lbs</t>
    </r>
  </si>
  <si>
    <t>L-M Facts</t>
  </si>
  <si>
    <r>
      <t xml:space="preserve">70,000 </t>
    </r>
    <r>
      <rPr>
        <sz val="10"/>
        <color indexed="12"/>
        <rFont val="Arial"/>
        <family val="2"/>
      </rPr>
      <t>lbs</t>
    </r>
  </si>
  <si>
    <r>
      <t xml:space="preserve">60,000 </t>
    </r>
    <r>
      <rPr>
        <sz val="10"/>
        <color indexed="12"/>
        <rFont val="Arial"/>
        <family val="2"/>
      </rPr>
      <t>lbs</t>
    </r>
  </si>
  <si>
    <t>wt class</t>
  </si>
  <si>
    <t xml:space="preserve"> + 9</t>
  </si>
  <si>
    <t xml:space="preserve"> + 7</t>
  </si>
  <si>
    <t xml:space="preserve"> + 7.5</t>
  </si>
  <si>
    <t>F135-PW-100</t>
  </si>
  <si>
    <t>F135-PW-600</t>
  </si>
  <si>
    <t>40,500 Vertical</t>
  </si>
  <si>
    <t>x 1</t>
  </si>
  <si>
    <t>GAU-22/A</t>
  </si>
  <si>
    <t>F-22A</t>
  </si>
  <si>
    <t>F119-PW-100</t>
  </si>
  <si>
    <t>Bay A-A/G</t>
  </si>
  <si>
    <t>Station 6 is the Gun (assuming).</t>
  </si>
  <si>
    <t>GBU-32</t>
  </si>
  <si>
    <t>1,013 lbs</t>
  </si>
  <si>
    <t>GBU-39</t>
  </si>
  <si>
    <t>JDAM-SDB</t>
  </si>
  <si>
    <t>M61A2</t>
  </si>
  <si>
    <t>20-mm Vulcan</t>
  </si>
  <si>
    <t>480 rounds</t>
  </si>
  <si>
    <t>25-mm 4-Barrel Rotary Cannon</t>
  </si>
  <si>
    <t>internal</t>
  </si>
  <si>
    <t>Pilots/other</t>
  </si>
  <si>
    <t>150 ktas</t>
  </si>
  <si>
    <t>1.6 M</t>
  </si>
  <si>
    <t>0.86 M</t>
  </si>
  <si>
    <t>50,000 ft</t>
  </si>
  <si>
    <t>181 rounds</t>
  </si>
  <si>
    <t>220 rounds</t>
  </si>
  <si>
    <t>700 kcas</t>
  </si>
  <si>
    <t>520 kcas</t>
  </si>
  <si>
    <t>700 kcas = 1.6M @ 28,600 ft</t>
  </si>
  <si>
    <t>520 kcas = 0.86M @ 5,700 ft</t>
  </si>
  <si>
    <t>^^ High speeds for 1G are (+10) higher than actual chart for game purposes.</t>
  </si>
  <si>
    <t>F-4G Flight Manual (1978)</t>
  </si>
  <si>
    <r>
      <t>F-4G Flight Manual (</t>
    </r>
    <r>
      <rPr>
        <sz val="10"/>
        <color indexed="20"/>
        <rFont val="Arial"/>
        <family val="2"/>
      </rPr>
      <t>1993</t>
    </r>
    <r>
      <rPr>
        <sz val="10"/>
        <rFont val="Arial"/>
        <family val="0"/>
      </rPr>
      <t>)</t>
    </r>
  </si>
  <si>
    <t>CBU-87 (4-M)</t>
  </si>
  <si>
    <t>CBU-87 (3-M)</t>
  </si>
  <si>
    <t>GBU-12 (2-T)</t>
  </si>
  <si>
    <t>GBU-24 LGB</t>
  </si>
  <si>
    <t>ALE-38 -40</t>
  </si>
  <si>
    <t>GBU-8</t>
  </si>
  <si>
    <t>EO</t>
  </si>
  <si>
    <t>HOBOS</t>
  </si>
  <si>
    <t>2,293 lbs</t>
  </si>
  <si>
    <t>Fire</t>
  </si>
  <si>
    <t>BLU-27B</t>
  </si>
  <si>
    <t>F-15 Armament Handbook (1979)</t>
  </si>
  <si>
    <t>F-15C -D Tactical Electronic Warfare System (2000)</t>
  </si>
  <si>
    <t>AN/ALE-45</t>
  </si>
  <si>
    <t xml:space="preserve">According to F-15C -D Tactical Electronic Warfare System (2000), </t>
  </si>
  <si>
    <t xml:space="preserve">  dispenser switch assembly (DSA). Two dispenser switch assemblies</t>
  </si>
  <si>
    <t xml:space="preserve">  are installed on each side of the aircraft."</t>
  </si>
  <si>
    <r>
      <t xml:space="preserve">  pg 15-1: </t>
    </r>
    <r>
      <rPr>
        <i/>
        <sz val="9"/>
        <rFont val="Arial"/>
        <family val="2"/>
      </rPr>
      <t xml:space="preserve">"Two expendable stores magazines are mounted in each </t>
    </r>
  </si>
  <si>
    <t xml:space="preserve">  To me, it appears to be four buckets total.</t>
  </si>
  <si>
    <t>pg 1-3-3</t>
  </si>
  <si>
    <t>9,701 lbs</t>
  </si>
  <si>
    <t>pg 1-1-1</t>
  </si>
  <si>
    <r>
      <t>"No limit on maximum takeoff gross weight when aircraft is loaded with authorized configurations."</t>
    </r>
    <r>
      <rPr>
        <sz val="8"/>
        <rFont val="Arial"/>
        <family val="2"/>
      </rPr>
      <t xml:space="preserve">  CF-5A manual, pg 1-1-2</t>
    </r>
  </si>
  <si>
    <t>20,630 lbs</t>
  </si>
  <si>
    <t>CF-5A &amp; CF-5A/R FM (1969)</t>
  </si>
  <si>
    <r>
      <t>F-5E/F FM (</t>
    </r>
    <r>
      <rPr>
        <sz val="10"/>
        <color indexed="12"/>
        <rFont val="Arial"/>
        <family val="2"/>
      </rPr>
      <t>1978</t>
    </r>
    <r>
      <rPr>
        <sz val="10"/>
        <rFont val="Arial"/>
        <family val="0"/>
      </rPr>
      <t>)</t>
    </r>
  </si>
  <si>
    <t>1,123 lbs</t>
  </si>
  <si>
    <t>calculated</t>
  </si>
  <si>
    <t>2,004 lbs</t>
  </si>
  <si>
    <t>One crewmember is 240 lbs.</t>
  </si>
  <si>
    <t>Names</t>
  </si>
  <si>
    <t>(Sidewinder)</t>
  </si>
  <si>
    <t xml:space="preserve">Cluster </t>
  </si>
  <si>
    <t xml:space="preserve">Fire </t>
  </si>
  <si>
    <t>(Paveway I)</t>
  </si>
  <si>
    <t xml:space="preserve">  50 Gal</t>
  </si>
  <si>
    <t>(pg A1-8)</t>
  </si>
  <si>
    <t>sta 1 &amp; 7</t>
  </si>
  <si>
    <t>sta 2 &amp; 6</t>
  </si>
  <si>
    <t>sta 3 &amp; 5</t>
  </si>
  <si>
    <t>sta 4</t>
  </si>
  <si>
    <t>Tip Tanks; 48 usable Gal</t>
  </si>
  <si>
    <t>(Bullpup)</t>
  </si>
  <si>
    <t xml:space="preserve">   4 x   5.0  -in</t>
  </si>
  <si>
    <t>(Zuni)</t>
  </si>
  <si>
    <t>260 lbs</t>
  </si>
  <si>
    <t>985 lbs</t>
  </si>
  <si>
    <t>23,253 lbs</t>
  </si>
  <si>
    <t>AN/AXQ-14</t>
  </si>
  <si>
    <t>Note: for GBU-15</t>
  </si>
  <si>
    <t xml:space="preserve">Data Link </t>
  </si>
  <si>
    <t>450 lbs</t>
  </si>
  <si>
    <t>GBU-38</t>
  </si>
  <si>
    <t>JDAM - SDB</t>
  </si>
  <si>
    <t>*unconfirmed</t>
  </si>
  <si>
    <r>
      <t>Bunker Busting;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manual doesn't state centerline, but I witnessed centerline deployment on video.</t>
    </r>
  </si>
  <si>
    <t>Internal Countermeasures</t>
  </si>
  <si>
    <t>Chaff / Flare</t>
  </si>
  <si>
    <t>ECM Jammers</t>
  </si>
  <si>
    <t>4 bkts, 30 ea</t>
  </si>
  <si>
    <t>see note --&gt;</t>
  </si>
  <si>
    <t>Janes 2007</t>
  </si>
  <si>
    <t>Weapon Bay</t>
  </si>
  <si>
    <t>SRAM</t>
  </si>
  <si>
    <t>240 kts</t>
  </si>
  <si>
    <t>114,300 lbs</t>
  </si>
  <si>
    <t>49,000 lbs</t>
  </si>
  <si>
    <t>1,261 ktas</t>
  </si>
  <si>
    <t>2.2 M</t>
  </si>
  <si>
    <t>2.5 M</t>
  </si>
  <si>
    <t>1.1 M</t>
  </si>
  <si>
    <t>727 ktas</t>
  </si>
  <si>
    <t>1.2 M</t>
  </si>
  <si>
    <t>+ 3.0; - 1.0</t>
  </si>
  <si>
    <t>xx lbs</t>
  </si>
  <si>
    <t>pg 5-23</t>
  </si>
  <si>
    <t>pg 6-12</t>
  </si>
  <si>
    <t>Minimum Airspeed @ 60,000 lbs. (EF-) (FB-) Flaps up.</t>
  </si>
  <si>
    <t>AN/APQ-114</t>
  </si>
  <si>
    <t>284.9 gal</t>
  </si>
  <si>
    <t>T.O. 1F-111(Y)A-1A</t>
  </si>
  <si>
    <t>165 kias</t>
  </si>
  <si>
    <t>Minimum Airspeed @ 52,000 lbs. (-A) (-F) Flaps up.</t>
  </si>
  <si>
    <t>12 ft/sec</t>
  </si>
  <si>
    <t>pg 1-77</t>
  </si>
  <si>
    <t>AN/APQ-113</t>
  </si>
  <si>
    <t>8 bkts, 30 ea</t>
  </si>
  <si>
    <t>AN/ALE-xx</t>
  </si>
  <si>
    <t>AN/ALE-28</t>
  </si>
  <si>
    <t>AN/ALR-23</t>
  </si>
  <si>
    <t>pg 1-87</t>
  </si>
  <si>
    <t>AGM-84A/E</t>
  </si>
  <si>
    <t xml:space="preserve">Cruise </t>
  </si>
  <si>
    <t>Source: F-16.net</t>
  </si>
  <si>
    <t>Officially cleared on F-16 (USAF doesn't use them on F-16s) 11 AUG 1994.</t>
  </si>
  <si>
    <t>AN/ALE-47</t>
  </si>
  <si>
    <t>AN/ALQ-165</t>
  </si>
  <si>
    <t>pg 5-26; A1-7; SAC</t>
  </si>
  <si>
    <r>
      <t>F-16C</t>
    </r>
    <r>
      <rPr>
        <u val="single"/>
        <sz val="10"/>
        <rFont val="Arial"/>
        <family val="2"/>
      </rPr>
      <t xml:space="preserve"> Blk 50</t>
    </r>
  </si>
  <si>
    <t>xxx lbs</t>
  </si>
  <si>
    <t>HARM  A-G</t>
  </si>
  <si>
    <t>AGM-154A</t>
  </si>
  <si>
    <t>JSOW</t>
  </si>
  <si>
    <t>CBU-97</t>
  </si>
  <si>
    <t>CBU-103</t>
  </si>
  <si>
    <t>CBU-105</t>
  </si>
  <si>
    <t>?</t>
  </si>
  <si>
    <t>AN/ALQ-184</t>
  </si>
  <si>
    <t>461 lbs</t>
  </si>
  <si>
    <t>3,961 lbs</t>
  </si>
  <si>
    <t>Wt in JP-8</t>
  </si>
  <si>
    <t>2,516 lbs</t>
  </si>
  <si>
    <t>2,040 lbs</t>
  </si>
  <si>
    <t>672 lbs</t>
  </si>
  <si>
    <t>Wt is AGM-65G</t>
  </si>
  <si>
    <t>770 lbs</t>
  </si>
  <si>
    <t>AIM-9M</t>
  </si>
  <si>
    <t>341 lbs</t>
  </si>
  <si>
    <t>482 lbs</t>
  </si>
  <si>
    <t>2,020 lbs</t>
  </si>
  <si>
    <t>CBU-87/B</t>
  </si>
  <si>
    <r>
      <t>DCS</t>
    </r>
    <r>
      <rPr>
        <sz val="8"/>
        <rFont val="Arial"/>
        <family val="2"/>
      </rPr>
      <t xml:space="preserve"> chart; Blk 50 sup</t>
    </r>
  </si>
  <si>
    <t>215 lbs</t>
  </si>
  <si>
    <t>7 x 2.75-in</t>
  </si>
  <si>
    <t>223 lbs</t>
  </si>
  <si>
    <t>LAU-5003</t>
  </si>
  <si>
    <t xml:space="preserve">LAU-131 </t>
  </si>
  <si>
    <t xml:space="preserve">LAU-68  </t>
  </si>
  <si>
    <t>530 lbs</t>
  </si>
  <si>
    <t>392 lbs empty</t>
  </si>
  <si>
    <t>490 lbs empty</t>
  </si>
  <si>
    <t>399 lbs empty</t>
  </si>
  <si>
    <t>AGM-84D</t>
  </si>
  <si>
    <t>1,172 lbs</t>
  </si>
  <si>
    <t>Anti-Ship</t>
  </si>
  <si>
    <t>F-14B / -D</t>
  </si>
  <si>
    <t xml:space="preserve"> -1 G</t>
  </si>
  <si>
    <t xml:space="preserve"> -2 G</t>
  </si>
  <si>
    <t>F-14A</t>
  </si>
  <si>
    <t>F-14B</t>
  </si>
  <si>
    <t>F-14D</t>
  </si>
  <si>
    <t>F-14 manual list JP-4 weight as 6.5 lbs/gal.</t>
  </si>
  <si>
    <t>F-14 manual list JP-5 weight as 6.8 lbs/gal.</t>
  </si>
  <si>
    <t>F110-GE-400</t>
  </si>
  <si>
    <r>
      <t>F-14A</t>
    </r>
    <r>
      <rPr>
        <u val="single"/>
        <sz val="10"/>
        <rFont val="Arial"/>
        <family val="2"/>
      </rPr>
      <t xml:space="preserve"> </t>
    </r>
  </si>
  <si>
    <t>ARH  A-A</t>
  </si>
  <si>
    <t>Fuel</t>
  </si>
  <si>
    <t>Wing</t>
  </si>
  <si>
    <t>Station 1a, 8a</t>
  </si>
  <si>
    <t>Station 1b, 8b</t>
  </si>
  <si>
    <t>Station 3, 4, 5, 6</t>
  </si>
  <si>
    <r>
      <t xml:space="preserve">       </t>
    </r>
    <r>
      <rPr>
        <b/>
        <sz val="8"/>
        <rFont val="Arial"/>
        <family val="2"/>
      </rPr>
      <t xml:space="preserve"> *</t>
    </r>
    <r>
      <rPr>
        <sz val="8"/>
        <rFont val="Arial"/>
        <family val="2"/>
      </rPr>
      <t xml:space="preserve"> The quantities given for all </t>
    </r>
    <r>
      <rPr>
        <u val="single"/>
        <sz val="8"/>
        <rFont val="Arial"/>
        <family val="2"/>
      </rPr>
      <t>pylons</t>
    </r>
    <r>
      <rPr>
        <sz val="8"/>
        <rFont val="Arial"/>
        <family val="2"/>
      </rPr>
      <t xml:space="preserve"> are the total number</t>
    </r>
    <r>
      <rPr>
        <sz val="8"/>
        <rFont val="Arial"/>
        <family val="2"/>
      </rPr>
      <t>.</t>
    </r>
    <r>
      <rPr>
        <b/>
        <sz val="8"/>
        <rFont val="Arial"/>
        <family val="2"/>
      </rPr>
      <t>*</t>
    </r>
  </si>
  <si>
    <r>
      <t>Wing</t>
    </r>
    <r>
      <rPr>
        <sz val="8"/>
        <rFont val="Arial"/>
        <family val="2"/>
      </rPr>
      <t xml:space="preserve"> (IR)</t>
    </r>
  </si>
  <si>
    <t>676 rounds</t>
  </si>
  <si>
    <t>382 lbs</t>
  </si>
  <si>
    <t>FPU-1/A</t>
  </si>
  <si>
    <t>TF30-P-412A</t>
  </si>
  <si>
    <t>F-14B Flight Manual (2001)</t>
  </si>
  <si>
    <t>F-14D Flight Manual (2004)</t>
  </si>
  <si>
    <t>F-14B Pocket Checklist</t>
  </si>
  <si>
    <r>
      <t>F-14A+, - D Performance (</t>
    </r>
    <r>
      <rPr>
        <sz val="10"/>
        <color indexed="12"/>
        <rFont val="Arial"/>
        <family val="2"/>
      </rPr>
      <t>1990</t>
    </r>
    <r>
      <rPr>
        <sz val="10"/>
        <rFont val="Arial"/>
        <family val="0"/>
      </rPr>
      <t>)</t>
    </r>
  </si>
  <si>
    <r>
      <t>F-14A Flight Manual (</t>
    </r>
    <r>
      <rPr>
        <sz val="10"/>
        <color indexed="17"/>
        <rFont val="Arial"/>
        <family val="2"/>
      </rPr>
      <t>1972</t>
    </r>
    <r>
      <rPr>
        <sz val="10"/>
        <rFont val="Arial"/>
        <family val="0"/>
      </rPr>
      <t>)</t>
    </r>
  </si>
  <si>
    <t>Max. T-O, Catapult</t>
  </si>
  <si>
    <t>includes: crew, gun, unusable fuel, oil, pylons, etc..</t>
  </si>
  <si>
    <t>43,600 lbs</t>
  </si>
  <si>
    <t>AN/ALE-39</t>
  </si>
  <si>
    <t>AN/AWG-9</t>
  </si>
  <si>
    <t>pg 1-3</t>
  </si>
  <si>
    <t>AN/ALQ-126A/B</t>
  </si>
  <si>
    <t>LA-610</t>
  </si>
  <si>
    <t>1,760 lbs</t>
  </si>
  <si>
    <t>Max. T-O, Field</t>
  </si>
  <si>
    <t>pg 2-9</t>
  </si>
  <si>
    <t>F-14 manual list JP-8 weight as 6.7 lbs/gal.</t>
  </si>
  <si>
    <t>Internal Usable Fuel (Gal), with Ext. Tanks (267 Gal usable)</t>
  </si>
  <si>
    <t>pg 2-43</t>
  </si>
  <si>
    <t>190 kts</t>
  </si>
  <si>
    <t>pg 4-1</t>
  </si>
  <si>
    <t xml:space="preserve"> + 6.5, - 2.85</t>
  </si>
  <si>
    <t>pg 4-9</t>
  </si>
  <si>
    <t>225 kias</t>
  </si>
  <si>
    <t>pg 4-5</t>
  </si>
  <si>
    <t>76,000 lbs</t>
  </si>
  <si>
    <t>72,000 lbs</t>
  </si>
  <si>
    <t>pg 1-1; 4-17</t>
  </si>
  <si>
    <t>ECM Jammers, internal</t>
  </si>
  <si>
    <t>AN/ALQ-167</t>
  </si>
  <si>
    <t xml:space="preserve">ECM </t>
  </si>
  <si>
    <t xml:space="preserve">280-Gal </t>
  </si>
  <si>
    <t xml:space="preserve">TARPS </t>
  </si>
  <si>
    <t>37,781 lbs</t>
  </si>
  <si>
    <t>71,000 lbs</t>
  </si>
  <si>
    <t>pg 1-4</t>
  </si>
  <si>
    <t>pg 1-28</t>
  </si>
  <si>
    <t>pg 1-72</t>
  </si>
  <si>
    <t>Combat</t>
  </si>
  <si>
    <t>Service</t>
  </si>
  <si>
    <t>500 ft / min</t>
  </si>
  <si>
    <t>100 ft / min</t>
  </si>
  <si>
    <t>Ceilings, 45,000 lbs, 0 drag, mil power</t>
  </si>
  <si>
    <t>pg 11-34</t>
  </si>
  <si>
    <t>43,735 lbs</t>
  </si>
  <si>
    <t>Landing, max speed</t>
  </si>
  <si>
    <t>280 kias</t>
  </si>
  <si>
    <t>flap / slat</t>
  </si>
  <si>
    <t>landing gear</t>
  </si>
  <si>
    <t>pg 1-5</t>
  </si>
  <si>
    <t>AN/APG-71</t>
  </si>
  <si>
    <t>IRST</t>
  </si>
  <si>
    <t>Chaff, missile rail</t>
  </si>
  <si>
    <t>Countermeasures</t>
  </si>
  <si>
    <t>Chaff / Flare, internal</t>
  </si>
  <si>
    <t>LAU-138A/A</t>
  </si>
  <si>
    <t>pg 2-44</t>
  </si>
  <si>
    <t>pg 1-3; 4-1</t>
  </si>
  <si>
    <t>pg 1-4; 4-9</t>
  </si>
  <si>
    <t>pg 1-3; 4-18</t>
  </si>
  <si>
    <t xml:space="preserve">Landing Sink Rate </t>
  </si>
  <si>
    <t>Nominal</t>
  </si>
  <si>
    <t>Maximum</t>
  </si>
  <si>
    <t>10 fps</t>
  </si>
  <si>
    <t>pg 11-26</t>
  </si>
  <si>
    <t>LANTIRN</t>
  </si>
  <si>
    <t>F-14A, -B, -D A/G Tactical Manual (2000)</t>
  </si>
  <si>
    <t>4,000 - 6,000 rounds per minute</t>
  </si>
  <si>
    <t>200 round limit bursts</t>
  </si>
  <si>
    <t>AN/AAQ-25</t>
  </si>
  <si>
    <t>AIM-54A</t>
  </si>
  <si>
    <t>AIM-54C</t>
  </si>
  <si>
    <t>AIM-54C+</t>
  </si>
  <si>
    <t>1,020 lbs</t>
  </si>
  <si>
    <t>1,025 lbs</t>
  </si>
  <si>
    <t>2 bkts, 30 ea</t>
  </si>
  <si>
    <t>286 lbs</t>
  </si>
  <si>
    <t>216 lbs empty</t>
  </si>
  <si>
    <r>
      <t>F-14A, -B, -D A/G Tactical Manual (</t>
    </r>
    <r>
      <rPr>
        <sz val="10"/>
        <color indexed="62"/>
        <rFont val="Arial"/>
        <family val="2"/>
      </rPr>
      <t>2000</t>
    </r>
    <r>
      <rPr>
        <sz val="10"/>
        <rFont val="Arial"/>
        <family val="0"/>
      </rPr>
      <t>)</t>
    </r>
  </si>
  <si>
    <t>pg 1-34</t>
  </si>
  <si>
    <t>GBU-16</t>
  </si>
  <si>
    <t>2,114 lbs</t>
  </si>
  <si>
    <t>2,396 lbs</t>
  </si>
  <si>
    <t>1,112 lbs</t>
  </si>
  <si>
    <t>station 3 / 6</t>
  </si>
  <si>
    <t>pg 1-35</t>
  </si>
  <si>
    <t>station 3 / 5</t>
  </si>
  <si>
    <t>station 3 - 6</t>
  </si>
  <si>
    <t>514 lbs</t>
  </si>
  <si>
    <t>986 lbs</t>
  </si>
  <si>
    <t>1,992 lbs</t>
  </si>
  <si>
    <t>station 5</t>
  </si>
  <si>
    <t>station 8</t>
  </si>
  <si>
    <t xml:space="preserve">LANTIRN </t>
  </si>
  <si>
    <t>@ 45,000 lbs</t>
  </si>
  <si>
    <t>130 kcas</t>
  </si>
  <si>
    <t>Take Off Speed, 0 deg flaps, all drag</t>
  </si>
  <si>
    <t>@ 55,000 lbs</t>
  </si>
  <si>
    <t>145 kcas</t>
  </si>
  <si>
    <t>@ 65,000 lbs</t>
  </si>
  <si>
    <t>@ 72,000 lbs</t>
  </si>
  <si>
    <t>168 kcas</t>
  </si>
  <si>
    <t>pg XI-2-5</t>
  </si>
  <si>
    <t>pg XI-3-4</t>
  </si>
  <si>
    <t>45,600 ft</t>
  </si>
  <si>
    <t>49,700 ft</t>
  </si>
  <si>
    <t>48,600 ft</t>
  </si>
  <si>
    <t>Maximum Airspeed, Level Flight, A/B, 55,620 lbs GW, 4 AIM-7 + 4 AIM-9</t>
  </si>
  <si>
    <t>30,000 ft</t>
  </si>
  <si>
    <t>20,000 ft</t>
  </si>
  <si>
    <t>10,000 ft</t>
  </si>
  <si>
    <t>40,000 ft</t>
  </si>
  <si>
    <t>1,090 ktas</t>
  </si>
  <si>
    <t xml:space="preserve">  708 ktas</t>
  </si>
  <si>
    <t xml:space="preserve">  855 ktas</t>
  </si>
  <si>
    <t xml:space="preserve">  958 ktas</t>
  </si>
  <si>
    <t>1,141 ktas</t>
  </si>
  <si>
    <t>1,130 ktas</t>
  </si>
  <si>
    <t>1,009 ktas</t>
  </si>
  <si>
    <t>pg XI-9-3</t>
  </si>
  <si>
    <t>Electronics</t>
  </si>
  <si>
    <t>1,121 ktas</t>
  </si>
  <si>
    <t xml:space="preserve">  973 ktas</t>
  </si>
  <si>
    <t xml:space="preserve">  807 ktas</t>
  </si>
  <si>
    <t>1,255 ktas</t>
  </si>
  <si>
    <t>1,331 ktas</t>
  </si>
  <si>
    <t>1,336 ktas</t>
  </si>
  <si>
    <t>1,342 ktas</t>
  </si>
  <si>
    <t>pg XI-9-17;-19</t>
  </si>
  <si>
    <t>AN/ALQ-100</t>
  </si>
  <si>
    <t>* SACs are stating higher ceilings.</t>
  </si>
  <si>
    <t>* Infra-Red Search and Track</t>
  </si>
  <si>
    <t>* Low Altitude Navigation Targetting InfraRed for Night</t>
  </si>
  <si>
    <t xml:space="preserve"> -3 G</t>
  </si>
  <si>
    <r>
      <t xml:space="preserve">^^ Numbers in </t>
    </r>
    <r>
      <rPr>
        <sz val="10"/>
        <color indexed="53"/>
        <rFont val="Arial"/>
        <family val="2"/>
      </rPr>
      <t>orange</t>
    </r>
    <r>
      <rPr>
        <sz val="10"/>
        <rFont val="Arial"/>
        <family val="0"/>
      </rPr>
      <t xml:space="preserve"> are calculated estimates; 0 alt </t>
    </r>
    <r>
      <rPr>
        <sz val="10"/>
        <color indexed="53"/>
        <rFont val="Arial"/>
        <family val="2"/>
      </rPr>
      <t>values</t>
    </r>
    <r>
      <rPr>
        <sz val="10"/>
        <rFont val="Arial"/>
        <family val="0"/>
      </rPr>
      <t xml:space="preserve"> based on 5,000' value.</t>
    </r>
  </si>
  <si>
    <r>
      <t xml:space="preserve">^^ Numbers in </t>
    </r>
    <r>
      <rPr>
        <sz val="10"/>
        <color indexed="21"/>
        <rFont val="Arial"/>
        <family val="2"/>
      </rPr>
      <t>teal</t>
    </r>
    <r>
      <rPr>
        <sz val="10"/>
        <rFont val="Arial"/>
        <family val="0"/>
      </rPr>
      <t xml:space="preserve"> are average calculations based on adjacent</t>
    </r>
    <r>
      <rPr>
        <sz val="10"/>
        <rFont val="Arial"/>
        <family val="0"/>
      </rPr>
      <t xml:space="preserve"> values.</t>
    </r>
  </si>
  <si>
    <r>
      <t>Blue</t>
    </r>
    <r>
      <rPr>
        <sz val="10"/>
        <rFont val="Arial"/>
        <family val="0"/>
      </rPr>
      <t xml:space="preserve"> = Hochwarth calculator, pg XI-9-17, -18, -19 chart values.</t>
    </r>
  </si>
  <si>
    <t>TF30  F110 Engine Specs.pdf</t>
  </si>
  <si>
    <t>sea level static thrust, max continuous</t>
  </si>
  <si>
    <t>sea level static thrust, max afterburner</t>
  </si>
  <si>
    <t>To Be Released in Playset v 4.1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</si>
</sst>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0.0000"/>
    <numFmt numFmtId="170" formatCode="0.00000"/>
    <numFmt numFmtId="171" formatCode="0.000000"/>
    <numFmt numFmtId="172" formatCode="0.00000000"/>
    <numFmt numFmtId="173" formatCode="0.0000000"/>
    <numFmt numFmtId="174" formatCode="#,##0.0"/>
    <numFmt numFmtId="175" formatCode="#,##0.000"/>
    <numFmt numFmtId="176" formatCode="#,##0.0000"/>
  </numFmts>
  <fonts count="4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7"/>
      <name val="Arial"/>
      <family val="2"/>
    </font>
    <font>
      <sz val="10"/>
      <color indexed="53"/>
      <name val="Arial"/>
      <family val="2"/>
    </font>
    <font>
      <sz val="9"/>
      <color indexed="12"/>
      <name val="Arial"/>
      <family val="2"/>
    </font>
    <font>
      <sz val="10.5"/>
      <name val="Arial"/>
      <family val="0"/>
    </font>
    <font>
      <sz val="10.25"/>
      <name val="Arial"/>
      <family val="0"/>
    </font>
    <font>
      <i/>
      <u val="single"/>
      <sz val="10"/>
      <name val="Arial"/>
      <family val="2"/>
    </font>
    <font>
      <sz val="8.5"/>
      <name val="Arial"/>
      <family val="2"/>
    </font>
    <font>
      <sz val="8"/>
      <color indexed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" fontId="0" fillId="2" borderId="0" xfId="0" applyNumberFormat="1" applyFill="1" applyAlignment="1">
      <alignment/>
    </xf>
    <xf numFmtId="167" fontId="0" fillId="0" borderId="0" xfId="15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167" fontId="0" fillId="0" borderId="0" xfId="15" applyNumberForma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 inden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0" fillId="0" borderId="0" xfId="15" applyNumberFormat="1" applyFont="1" applyFill="1" applyAlignment="1">
      <alignment/>
    </xf>
    <xf numFmtId="167" fontId="0" fillId="0" borderId="0" xfId="15" applyNumberFormat="1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2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" fontId="17" fillId="0" borderId="0" xfId="0" applyNumberFormat="1" applyFont="1" applyFill="1" applyAlignment="1">
      <alignment/>
    </xf>
    <xf numFmtId="43" fontId="0" fillId="0" borderId="0" xfId="15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3" fontId="0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0" fillId="0" borderId="0" xfId="0" applyNumberFormat="1" applyFont="1" applyFill="1" applyAlignment="1">
      <alignment/>
    </xf>
    <xf numFmtId="1" fontId="0" fillId="0" borderId="0" xfId="15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167" fontId="0" fillId="0" borderId="0" xfId="15" applyNumberFormat="1" applyFont="1" applyFill="1" applyAlignment="1">
      <alignment/>
    </xf>
    <xf numFmtId="1" fontId="0" fillId="0" borderId="0" xfId="15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 quotePrefix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21" fillId="0" borderId="0" xfId="0" applyFont="1" applyFill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4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19"/>
          <c:w val="0.8005"/>
          <c:h val="0.93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'F-4'!$B$3:$B$18</c:f>
              <c:numCache/>
            </c:numRef>
          </c:xVal>
          <c:yVal>
            <c:numRef>
              <c:f>'F-4'!$A$3:$A$18</c:f>
              <c:numCache/>
            </c:numRef>
          </c:yVal>
          <c:smooth val="1"/>
        </c:ser>
        <c:axId val="26788638"/>
        <c:axId val="39771151"/>
      </c:scatterChart>
      <c:valAx>
        <c:axId val="2678863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771151"/>
        <c:crosses val="autoZero"/>
        <c:crossBetween val="midCat"/>
        <c:dispUnits/>
      </c:valAx>
      <c:valAx>
        <c:axId val="3977115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.019"/>
          <c:w val="0.81"/>
          <c:h val="0.93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'F-5'!$B$3:$B$15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'F-5'!$A$3:$A$15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1095768"/>
        <c:axId val="9861913"/>
      </c:scatterChart>
      <c:valAx>
        <c:axId val="109576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861913"/>
        <c:crosses val="autoZero"/>
        <c:crossBetween val="midCat"/>
        <c:dispUnits/>
      </c:valAx>
      <c:valAx>
        <c:axId val="986191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95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25"/>
          <c:y val="0.01875"/>
          <c:w val="0.80825"/>
          <c:h val="0.93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'F-5'!$E$3:$E$15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'F-5'!$D$3:$D$15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21648354"/>
        <c:axId val="60617459"/>
      </c:scatterChart>
      <c:valAx>
        <c:axId val="216483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617459"/>
        <c:crosses val="autoZero"/>
        <c:crossBetween val="midCat"/>
        <c:dispUnits/>
      </c:valAx>
      <c:valAx>
        <c:axId val="6061745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648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01875"/>
          <c:w val="0.80425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'F-5'!$H$3:$H$14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'F-5'!$G$3:$G$14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8686220"/>
        <c:axId val="11067117"/>
      </c:scatterChart>
      <c:valAx>
        <c:axId val="868622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067117"/>
        <c:crosses val="autoZero"/>
        <c:crossBetween val="midCat"/>
        <c:dispUnits/>
      </c:valAx>
      <c:valAx>
        <c:axId val="1106711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686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75"/>
          <c:y val="0.0195"/>
          <c:w val="0.79075"/>
          <c:h val="0.93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'F-5'!$K$3:$K$14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'F-5'!$J$3:$J$14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32495190"/>
        <c:axId val="24021255"/>
      </c:scatterChart>
      <c:valAx>
        <c:axId val="3249519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021255"/>
        <c:crosses val="autoZero"/>
        <c:crossBetween val="midCat"/>
        <c:dispUnits/>
      </c:valAx>
      <c:valAx>
        <c:axId val="2402125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495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1925"/>
          <c:w val="0.7875"/>
          <c:h val="0.9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'F-5'!$N$3:$N$13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'F-5'!$M$3:$M$13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4864704"/>
        <c:axId val="66673473"/>
      </c:scatterChart>
      <c:valAx>
        <c:axId val="1486470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673473"/>
        <c:crosses val="autoZero"/>
        <c:crossBetween val="midCat"/>
        <c:dispUnits/>
      </c:valAx>
      <c:valAx>
        <c:axId val="6667347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864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75"/>
          <c:y val="0.019"/>
          <c:w val="0.7907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'F-5'!$Q$3:$Q$12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'F-5'!$P$3:$P$12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3190346"/>
        <c:axId val="31842203"/>
      </c:scatterChart>
      <c:valAx>
        <c:axId val="6319034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842203"/>
        <c:crosses val="autoZero"/>
        <c:crossBetween val="midCat"/>
        <c:dispUnits/>
      </c:valAx>
      <c:valAx>
        <c:axId val="3184220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190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75"/>
          <c:y val="0.01925"/>
          <c:w val="0.790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'F-5'!$T$3:$T$11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'F-5'!$S$3:$S$11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8144372"/>
        <c:axId val="29081621"/>
      </c:scatterChart>
      <c:valAx>
        <c:axId val="1814437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081621"/>
        <c:crosses val="autoZero"/>
        <c:crossBetween val="midCat"/>
        <c:dispUnits/>
      </c:valAx>
      <c:valAx>
        <c:axId val="2908162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75"/>
          <c:y val="0.019"/>
          <c:w val="0.792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'F-5'!$W$3:$W$10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'F-5'!$V$3:$V$10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0407998"/>
        <c:axId val="6801071"/>
      </c:scatterChart>
      <c:valAx>
        <c:axId val="6040799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801071"/>
        <c:crosses val="autoZero"/>
        <c:crossBetween val="midCat"/>
        <c:dispUnits/>
      </c:valAx>
      <c:valAx>
        <c:axId val="680107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19"/>
          <c:w val="0.8005"/>
          <c:h val="0.93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'F-14'!$B$3:$B$21</c:f>
              <c:numCache/>
            </c:numRef>
          </c:xVal>
          <c:yVal>
            <c:numRef>
              <c:f>'F-14'!$A$3:$A$21</c:f>
              <c:numCache/>
            </c:numRef>
          </c:yVal>
          <c:smooth val="1"/>
        </c:ser>
        <c:axId val="61209640"/>
        <c:axId val="14015849"/>
      </c:scatterChart>
      <c:valAx>
        <c:axId val="6120964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015849"/>
        <c:crosses val="autoZero"/>
        <c:crossBetween val="midCat"/>
        <c:dispUnits/>
      </c:valAx>
      <c:valAx>
        <c:axId val="1401584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209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0185"/>
          <c:w val="0.798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'F-14'!$E$3:$E$21</c:f>
              <c:numCache/>
            </c:numRef>
          </c:xVal>
          <c:yVal>
            <c:numRef>
              <c:f>'F-14'!$D$3:$D$21</c:f>
              <c:numCache/>
            </c:numRef>
          </c:yVal>
          <c:smooth val="1"/>
        </c:ser>
        <c:axId val="59033778"/>
        <c:axId val="61541955"/>
      </c:scatterChart>
      <c:valAx>
        <c:axId val="5903377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crossBetween val="midCat"/>
        <c:dispUnits/>
      </c:valAx>
      <c:valAx>
        <c:axId val="6154195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033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5"/>
          <c:y val="0.01875"/>
          <c:w val="0.7985"/>
          <c:h val="0.93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'F-4'!$E$3:$E$18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'F-4'!$D$3:$D$18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22396040"/>
        <c:axId val="237769"/>
      </c:scatterChart>
      <c:valAx>
        <c:axId val="2239604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7769"/>
        <c:crosses val="autoZero"/>
        <c:crossBetween val="midCat"/>
        <c:dispUnits/>
      </c:valAx>
      <c:valAx>
        <c:axId val="23776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396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185"/>
          <c:w val="0.7975"/>
          <c:h val="0.93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'F-14'!$H$3:$H$21</c:f>
              <c:numCache/>
            </c:numRef>
          </c:xVal>
          <c:yVal>
            <c:numRef>
              <c:f>'F-14'!$G$3:$G$21</c:f>
              <c:numCache/>
            </c:numRef>
          </c:yVal>
          <c:smooth val="1"/>
        </c:ser>
        <c:axId val="17006684"/>
        <c:axId val="18842429"/>
      </c:scatterChart>
      <c:valAx>
        <c:axId val="1700668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842429"/>
        <c:crosses val="autoZero"/>
        <c:crossBetween val="midCat"/>
        <c:dispUnits/>
      </c:valAx>
      <c:valAx>
        <c:axId val="1884242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2"/>
          <c:h val="0.93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'F-14'!$K$3:$K$19</c:f>
              <c:numCache/>
            </c:numRef>
          </c:xVal>
          <c:yVal>
            <c:numRef>
              <c:f>'F-14'!$J$3:$J$19</c:f>
              <c:numCache/>
            </c:numRef>
          </c:yVal>
          <c:smooth val="1"/>
        </c:ser>
        <c:axId val="35364134"/>
        <c:axId val="49841751"/>
      </c:scatterChart>
      <c:valAx>
        <c:axId val="3536413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841751"/>
        <c:crosses val="autoZero"/>
        <c:crossBetween val="midCat"/>
        <c:dispUnits/>
      </c:valAx>
      <c:valAx>
        <c:axId val="4984175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5364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175"/>
          <c:h val="0.9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'F-14'!$N$3:$N$15</c:f>
              <c:numCache/>
            </c:numRef>
          </c:xVal>
          <c:yVal>
            <c:numRef>
              <c:f>'F-14'!$M$3:$M$15</c:f>
              <c:numCache/>
            </c:numRef>
          </c:yVal>
          <c:smooth val="1"/>
        </c:ser>
        <c:axId val="45922576"/>
        <c:axId val="10650001"/>
      </c:scatterChart>
      <c:valAx>
        <c:axId val="4592257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650001"/>
        <c:crosses val="autoZero"/>
        <c:crossBetween val="midCat"/>
        <c:dispUnits/>
      </c:valAx>
      <c:valAx>
        <c:axId val="1065000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922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"/>
          <c:w val="0.782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'F-14'!$Q$3:$Q$15</c:f>
              <c:numCache/>
            </c:numRef>
          </c:xVal>
          <c:yVal>
            <c:numRef>
              <c:f>'F-14'!$P$3:$P$15</c:f>
              <c:numCache/>
            </c:numRef>
          </c:yVal>
          <c:smooth val="1"/>
        </c:ser>
        <c:axId val="28741146"/>
        <c:axId val="57343723"/>
      </c:scatterChart>
      <c:valAx>
        <c:axId val="2874114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343723"/>
        <c:crosses val="autoZero"/>
        <c:crossBetween val="midCat"/>
        <c:dispUnits/>
      </c:valAx>
      <c:valAx>
        <c:axId val="5734372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7411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925"/>
          <c:w val="0.7827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'F-14'!$T$3:$T$13</c:f>
              <c:numCache/>
            </c:numRef>
          </c:xVal>
          <c:yVal>
            <c:numRef>
              <c:f>'F-14'!$S$3:$S$13</c:f>
              <c:numCache/>
            </c:numRef>
          </c:yVal>
          <c:smooth val="1"/>
        </c:ser>
        <c:axId val="46331460"/>
        <c:axId val="14329957"/>
      </c:scatterChart>
      <c:valAx>
        <c:axId val="4633146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329957"/>
        <c:crosses val="autoZero"/>
        <c:crossBetween val="midCat"/>
        <c:dispUnits/>
      </c:valAx>
      <c:valAx>
        <c:axId val="1432995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331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'F-14'!$W$3:$W$9</c:f>
              <c:numCache/>
            </c:numRef>
          </c:xVal>
          <c:yVal>
            <c:numRef>
              <c:f>'F-14'!$V$3:$V$9</c:f>
              <c:numCache/>
            </c:numRef>
          </c:yVal>
          <c:smooth val="1"/>
        </c:ser>
        <c:axId val="61860750"/>
        <c:axId val="19875839"/>
      </c:scatterChart>
      <c:valAx>
        <c:axId val="6186075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875839"/>
        <c:crosses val="autoZero"/>
        <c:crossBetween val="midCat"/>
        <c:dispUnits/>
      </c:valAx>
      <c:valAx>
        <c:axId val="1987583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860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'F-14'!$AE$3:$AE$21</c:f>
              <c:numCache/>
            </c:numRef>
          </c:xVal>
          <c:yVal>
            <c:numRef>
              <c:f>'F-14'!$AD$3:$AD$21</c:f>
              <c:numCache/>
            </c:numRef>
          </c:yVal>
          <c:smooth val="1"/>
        </c:ser>
        <c:axId val="44664824"/>
        <c:axId val="66439097"/>
      </c:scatterChart>
      <c:valAx>
        <c:axId val="4466482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439097"/>
        <c:crosses val="autoZero"/>
        <c:crossBetween val="midCat"/>
        <c:dispUnits/>
      </c:valAx>
      <c:valAx>
        <c:axId val="6643909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664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875"/>
          <c:w val="0.7835"/>
          <c:h val="0.93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'F-14'!$AH$3:$AH$19</c:f>
              <c:numCache/>
            </c:numRef>
          </c:xVal>
          <c:yVal>
            <c:numRef>
              <c:f>'F-14'!$AG$3:$AG$19</c:f>
              <c:numCache/>
            </c:numRef>
          </c:yVal>
          <c:smooth val="1"/>
        </c:ser>
        <c:axId val="61080962"/>
        <c:axId val="12857747"/>
      </c:scatterChart>
      <c:valAx>
        <c:axId val="6108096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857747"/>
        <c:crosses val="autoZero"/>
        <c:crossBetween val="midCat"/>
        <c:dispUnits/>
      </c:valAx>
      <c:valAx>
        <c:axId val="1285774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080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"/>
          <c:y val="0.019"/>
          <c:w val="0.7835"/>
          <c:h val="0.93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'F-14'!$AK$3:$AK$21</c:f>
              <c:numCache/>
            </c:numRef>
          </c:xVal>
          <c:yVal>
            <c:numRef>
              <c:f>'F-14'!$AJ$3:$AJ$21</c:f>
              <c:numCache/>
            </c:numRef>
          </c:yVal>
          <c:smooth val="1"/>
        </c:ser>
        <c:axId val="48610860"/>
        <c:axId val="34844557"/>
      </c:scatterChart>
      <c:valAx>
        <c:axId val="4861086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844557"/>
        <c:crosses val="autoZero"/>
        <c:crossBetween val="midCat"/>
        <c:dispUnits/>
      </c:valAx>
      <c:valAx>
        <c:axId val="3484455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610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19"/>
          <c:w val="0.8005"/>
          <c:h val="0.93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'F-15'!$B$3:$B$19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'F-15'!$A$3:$A$19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45165558"/>
        <c:axId val="3836839"/>
      </c:scatterChart>
      <c:valAx>
        <c:axId val="4516555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36839"/>
        <c:crosses val="autoZero"/>
        <c:crossBetween val="midCat"/>
        <c:dispUnits/>
      </c:valAx>
      <c:valAx>
        <c:axId val="383683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165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01875"/>
          <c:w val="0.7975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'F-4'!$H$3:$H$18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'F-4'!$G$3:$G$18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2139922"/>
        <c:axId val="19259299"/>
      </c:scatterChart>
      <c:valAx>
        <c:axId val="213992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259299"/>
        <c:crosses val="autoZero"/>
        <c:crossBetween val="midCat"/>
        <c:dispUnits/>
      </c:valAx>
      <c:valAx>
        <c:axId val="1925929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39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0185"/>
          <c:w val="0.798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'F-15'!$D$3:$D$13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4531552"/>
        <c:axId val="42348513"/>
      </c:scatterChart>
      <c:valAx>
        <c:axId val="3453155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348513"/>
        <c:crosses val="autoZero"/>
        <c:crossBetween val="midCat"/>
        <c:dispUnits/>
      </c:valAx>
      <c:valAx>
        <c:axId val="4234851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5315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185"/>
          <c:w val="0.7975"/>
          <c:h val="0.93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'F-15'!$G$3:$G$12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5592298"/>
        <c:axId val="7677499"/>
      </c:scatterChart>
      <c:valAx>
        <c:axId val="4559229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677499"/>
        <c:crosses val="autoZero"/>
        <c:crossBetween val="midCat"/>
        <c:dispUnits/>
      </c:valAx>
      <c:valAx>
        <c:axId val="767749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592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2"/>
          <c:h val="0.93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'F-15'!$K$3:$K$11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'F-15'!$J$3:$J$11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988628"/>
        <c:axId val="17897653"/>
      </c:scatterChart>
      <c:valAx>
        <c:axId val="198862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897653"/>
        <c:crosses val="autoZero"/>
        <c:crossBetween val="midCat"/>
        <c:dispUnits/>
      </c:valAx>
      <c:valAx>
        <c:axId val="1789765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88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175"/>
          <c:h val="0.9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'F-15'!$N$3:$N$9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'F-15'!$M$3:$M$9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6861150"/>
        <c:axId val="40423759"/>
      </c:scatterChart>
      <c:valAx>
        <c:axId val="2686115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423759"/>
        <c:crosses val="autoZero"/>
        <c:crossBetween val="midCat"/>
        <c:dispUnits/>
      </c:valAx>
      <c:valAx>
        <c:axId val="4042375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861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"/>
          <c:w val="0.782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'F-15'!$Q$3:$Q$9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'F-15'!$P$3:$P$9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8269512"/>
        <c:axId val="53099017"/>
      </c:scatterChart>
      <c:valAx>
        <c:axId val="2826951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099017"/>
        <c:crosses val="autoZero"/>
        <c:crossBetween val="midCat"/>
        <c:dispUnits/>
      </c:valAx>
      <c:valAx>
        <c:axId val="5309901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269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925"/>
          <c:w val="0.7827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'F-15'!$T$3:$T$7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'F-15'!$S$3:$S$7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8129106"/>
        <c:axId val="6053091"/>
      </c:scatterChart>
      <c:valAx>
        <c:axId val="812910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53091"/>
        <c:crosses val="autoZero"/>
        <c:crossBetween val="midCat"/>
        <c:dispUnits/>
      </c:valAx>
      <c:valAx>
        <c:axId val="605309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129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'F-15'!$W$3:$W$7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'F-15'!$V$3:$V$7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4477820"/>
        <c:axId val="20538333"/>
      </c:scatterChart>
      <c:valAx>
        <c:axId val="5447782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538333"/>
        <c:crosses val="autoZero"/>
        <c:crossBetween val="midCat"/>
        <c:dispUnits/>
      </c:valAx>
      <c:valAx>
        <c:axId val="2053833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477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'F-15'!$Z$3:$Z$5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'F-15'!$Y$3:$Y$5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0627270"/>
        <c:axId val="52992247"/>
      </c:scatterChart>
      <c:valAx>
        <c:axId val="5062727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992247"/>
        <c:crosses val="autoZero"/>
        <c:crossBetween val="midCat"/>
        <c:dispUnits/>
      </c:valAx>
      <c:valAx>
        <c:axId val="5299224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627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875"/>
          <c:w val="0.7835"/>
          <c:h val="0.93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'F-15'!$AC$3:$AC$5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'F-15'!$AB$3:$AB$5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7168176"/>
        <c:axId val="64513585"/>
      </c:scatterChart>
      <c:valAx>
        <c:axId val="716817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513585"/>
        <c:crosses val="autoZero"/>
        <c:crossBetween val="midCat"/>
        <c:dispUnits/>
      </c:valAx>
      <c:valAx>
        <c:axId val="6451358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168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19"/>
          <c:w val="0.8005"/>
          <c:h val="0.93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'F-16'!$B$3:$B$25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'F-16'!$A$3:$A$25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43751354"/>
        <c:axId val="58217867"/>
      </c:scatterChart>
      <c:valAx>
        <c:axId val="437513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217867"/>
        <c:crosses val="autoZero"/>
        <c:crossBetween val="midCat"/>
        <c:dispUnits/>
      </c:valAx>
      <c:valAx>
        <c:axId val="5821786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751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75"/>
          <c:y val="0.0195"/>
          <c:w val="0.78225"/>
          <c:h val="0.93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'F-4'!$K$3:$K$16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'F-4'!$J$3:$J$16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39115964"/>
        <c:axId val="16499357"/>
      </c:scatterChart>
      <c:valAx>
        <c:axId val="3911596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499357"/>
        <c:crosses val="autoZero"/>
        <c:crossBetween val="midCat"/>
        <c:dispUnits/>
      </c:valAx>
      <c:valAx>
        <c:axId val="1649935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115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0185"/>
          <c:w val="0.79775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'F-16'!$E$3:$E$25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'F-16'!$D$3:$D$25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54198756"/>
        <c:axId val="18026757"/>
      </c:scatterChart>
      <c:valAx>
        <c:axId val="5419875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026757"/>
        <c:crosses val="autoZero"/>
        <c:crossBetween val="midCat"/>
        <c:dispUnits/>
      </c:valAx>
      <c:valAx>
        <c:axId val="1802675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198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185"/>
          <c:w val="0.7975"/>
          <c:h val="0.93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'F-16'!$H$3:$H$25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'F-16'!$G$3:$G$25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28023086"/>
        <c:axId val="50881183"/>
      </c:scatterChart>
      <c:valAx>
        <c:axId val="2802308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881183"/>
        <c:crosses val="autoZero"/>
        <c:crossBetween val="midCat"/>
        <c:dispUnits/>
      </c:valAx>
      <c:valAx>
        <c:axId val="5088118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023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"/>
          <c:w val="0.78225"/>
          <c:h val="0.9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'F-16'!$K$3:$K$23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'F-16'!$J$3:$J$23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55277464"/>
        <c:axId val="27735129"/>
      </c:scatterChart>
      <c:valAx>
        <c:axId val="5527746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735129"/>
        <c:crosses val="autoZero"/>
        <c:crossBetween val="midCat"/>
        <c:dispUnits/>
      </c:valAx>
      <c:valAx>
        <c:axId val="2773512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277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5"/>
          <c:w val="0.78175"/>
          <c:h val="0.93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'F-16'!$N$3:$N$21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'F-16'!$M$3:$M$21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48289570"/>
        <c:axId val="31952947"/>
      </c:scatterChart>
      <c:valAx>
        <c:axId val="4828957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952947"/>
        <c:crosses val="autoZero"/>
        <c:crossBetween val="midCat"/>
        <c:dispUnits/>
      </c:valAx>
      <c:valAx>
        <c:axId val="3195294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289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"/>
          <c:w val="0.7822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'F-16'!$Q$3:$Q$19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'F-16'!$P$3:$P$19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19141068"/>
        <c:axId val="38051885"/>
      </c:scatterChart>
      <c:valAx>
        <c:axId val="1914106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051885"/>
        <c:crosses val="autoZero"/>
        <c:crossBetween val="midCat"/>
        <c:dispUnits/>
      </c:valAx>
      <c:valAx>
        <c:axId val="3805188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141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925"/>
          <c:w val="0.7827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'F-16'!$T$3:$T$18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'F-16'!$S$3:$S$18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6922646"/>
        <c:axId val="62303815"/>
      </c:scatterChart>
      <c:valAx>
        <c:axId val="692264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303815"/>
        <c:crosses val="autoZero"/>
        <c:crossBetween val="midCat"/>
        <c:dispUnits/>
      </c:valAx>
      <c:valAx>
        <c:axId val="6230381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922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'F-16'!$W$3:$W$17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'F-16'!$V$3:$V$17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23863424"/>
        <c:axId val="13444225"/>
      </c:scatterChart>
      <c:valAx>
        <c:axId val="2386342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444225"/>
        <c:crosses val="autoZero"/>
        <c:crossBetween val="midCat"/>
        <c:dispUnits/>
      </c:valAx>
      <c:valAx>
        <c:axId val="1344422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863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'F-16'!$Z$3:$Z$15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'F-16'!$Y$3:$Y$15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53889162"/>
        <c:axId val="15240411"/>
      </c:scatterChart>
      <c:valAx>
        <c:axId val="5388916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240411"/>
        <c:crosses val="autoZero"/>
        <c:crossBetween val="midCat"/>
        <c:dispUnits/>
      </c:valAx>
      <c:valAx>
        <c:axId val="1524041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889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875"/>
          <c:w val="0.7835"/>
          <c:h val="0.93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'F-16'!$AC$3:$AC$12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'F-16'!$AB$3:$AB$12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945972"/>
        <c:axId val="26513749"/>
      </c:scatterChart>
      <c:valAx>
        <c:axId val="294597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513749"/>
        <c:crosses val="autoZero"/>
        <c:crossBetween val="midCat"/>
        <c:dispUnits/>
      </c:valAx>
      <c:valAx>
        <c:axId val="2651374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45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19"/>
          <c:w val="0.8005"/>
          <c:h val="0.93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'F-35'!$B$3:$B$16</c:f>
              <c:numCache>
                <c:ptCount val="14"/>
                <c:pt idx="0">
                  <c:v>123</c:v>
                </c:pt>
                <c:pt idx="1">
                  <c:v>176</c:v>
                </c:pt>
                <c:pt idx="2">
                  <c:v>210</c:v>
                </c:pt>
                <c:pt idx="3">
                  <c:v>254</c:v>
                </c:pt>
                <c:pt idx="4">
                  <c:v>316</c:v>
                </c:pt>
                <c:pt idx="5">
                  <c:v>405</c:v>
                </c:pt>
                <c:pt idx="6">
                  <c:v>665</c:v>
                </c:pt>
                <c:pt idx="7">
                  <c:v>925</c:v>
                </c:pt>
                <c:pt idx="8">
                  <c:v>927</c:v>
                </c:pt>
                <c:pt idx="9">
                  <c:v>928</c:v>
                </c:pt>
                <c:pt idx="10">
                  <c:v>958</c:v>
                </c:pt>
                <c:pt idx="11">
                  <c:v>877</c:v>
                </c:pt>
                <c:pt idx="12">
                  <c:v>790</c:v>
                </c:pt>
                <c:pt idx="13">
                  <c:v>710</c:v>
                </c:pt>
              </c:numCache>
            </c:numRef>
          </c:xVal>
          <c:yVal>
            <c:numRef>
              <c:f>'F-35'!$A$3:$A$16</c:f>
              <c:numCache>
                <c:ptCount val="14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52000</c:v>
                </c:pt>
                <c:pt idx="7">
                  <c:v>50000</c:v>
                </c:pt>
                <c:pt idx="8">
                  <c:v>40000</c:v>
                </c:pt>
                <c:pt idx="9">
                  <c:v>36000</c:v>
                </c:pt>
                <c:pt idx="10">
                  <c:v>28600</c:v>
                </c:pt>
                <c:pt idx="11">
                  <c:v>20000</c:v>
                </c:pt>
                <c:pt idx="12">
                  <c:v>10000</c:v>
                </c:pt>
                <c:pt idx="13">
                  <c:v>0</c:v>
                </c:pt>
              </c:numCache>
            </c:numRef>
          </c:yVal>
          <c:smooth val="1"/>
        </c:ser>
        <c:axId val="37297150"/>
        <c:axId val="130031"/>
      </c:scatterChart>
      <c:valAx>
        <c:axId val="3729715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0031"/>
        <c:crosses val="autoZero"/>
        <c:crossBetween val="midCat"/>
        <c:dispUnits/>
      </c:valAx>
      <c:valAx>
        <c:axId val="13003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297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75"/>
          <c:y val="0.01925"/>
          <c:w val="0.782"/>
          <c:h val="0.9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'F-4'!$N$3:$N$16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'F-4'!$M$3:$M$16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14276486"/>
        <c:axId val="61379511"/>
      </c:scatterChart>
      <c:valAx>
        <c:axId val="1427648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379511"/>
        <c:crosses val="autoZero"/>
        <c:crossBetween val="midCat"/>
        <c:dispUnits/>
      </c:valAx>
      <c:valAx>
        <c:axId val="6137951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276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0185"/>
          <c:w val="0.798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'F-35'!$E$3:$E$13</c:f>
              <c:numCache>
                <c:ptCount val="11"/>
              </c:numCache>
            </c:numRef>
          </c:xVal>
          <c:yVal>
            <c:numRef>
              <c:f>'F-35'!$D$3:$D$13</c:f>
              <c:numCache>
                <c:ptCount val="1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48000</c:v>
                </c:pt>
                <c:pt idx="6">
                  <c:v>40000</c:v>
                </c:pt>
                <c:pt idx="7">
                  <c:v>30000</c:v>
                </c:pt>
                <c:pt idx="8">
                  <c:v>20000</c:v>
                </c:pt>
                <c:pt idx="9">
                  <c:v>10000</c:v>
                </c:pt>
                <c:pt idx="10">
                  <c:v>0</c:v>
                </c:pt>
              </c:numCache>
            </c:numRef>
          </c:yVal>
          <c:smooth val="1"/>
        </c:ser>
        <c:axId val="1170280"/>
        <c:axId val="10532521"/>
      </c:scatterChart>
      <c:valAx>
        <c:axId val="117028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532521"/>
        <c:crosses val="autoZero"/>
        <c:crossBetween val="midCat"/>
        <c:dispUnits/>
      </c:valAx>
      <c:valAx>
        <c:axId val="1053252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70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185"/>
          <c:w val="0.7975"/>
          <c:h val="0.93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'F-35'!$H$3:$H$12</c:f>
              <c:numCache>
                <c:ptCount val="10"/>
              </c:numCache>
            </c:numRef>
          </c:xVal>
          <c:yVal>
            <c:numRef>
              <c:f>'F-35'!$G$3:$G$12</c:f>
              <c:numCache>
                <c:ptCount val="10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38500</c:v>
                </c:pt>
                <c:pt idx="5">
                  <c:v>40000</c:v>
                </c:pt>
                <c:pt idx="6">
                  <c:v>30000</c:v>
                </c:pt>
                <c:pt idx="7">
                  <c:v>20000</c:v>
                </c:pt>
                <c:pt idx="8">
                  <c:v>10000</c:v>
                </c:pt>
                <c:pt idx="9">
                  <c:v>0</c:v>
                </c:pt>
              </c:numCache>
            </c:numRef>
          </c:yVal>
          <c:smooth val="1"/>
        </c:ser>
        <c:axId val="27683826"/>
        <c:axId val="47827843"/>
      </c:scatterChart>
      <c:valAx>
        <c:axId val="2768382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827843"/>
        <c:crosses val="autoZero"/>
        <c:crossBetween val="midCat"/>
        <c:dispUnits/>
      </c:valAx>
      <c:valAx>
        <c:axId val="4782784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683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2"/>
          <c:h val="0.93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'F-35'!$K$3:$K$11</c:f>
              <c:numCache>
                <c:ptCount val="9"/>
              </c:numCache>
            </c:numRef>
          </c:xVal>
          <c:yVal>
            <c:numRef>
              <c:f>'F-35'!$J$3:$J$11</c:f>
              <c:numCache>
                <c:ptCount val="9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32000</c:v>
                </c:pt>
                <c:pt idx="5">
                  <c:v>30000</c:v>
                </c:pt>
                <c:pt idx="6">
                  <c:v>20000</c:v>
                </c:pt>
                <c:pt idx="7">
                  <c:v>10000</c:v>
                </c:pt>
                <c:pt idx="8">
                  <c:v>0</c:v>
                </c:pt>
              </c:numCache>
            </c:numRef>
          </c:yVal>
          <c:smooth val="1"/>
        </c:ser>
        <c:axId val="27797404"/>
        <c:axId val="48850045"/>
      </c:scatterChart>
      <c:valAx>
        <c:axId val="2779740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850045"/>
        <c:crosses val="autoZero"/>
        <c:crossBetween val="midCat"/>
        <c:dispUnits/>
      </c:valAx>
      <c:valAx>
        <c:axId val="4885004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797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175"/>
          <c:h val="0.9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'F-35'!$N$3:$N$9</c:f>
              <c:numCache>
                <c:ptCount val="7"/>
              </c:numCache>
            </c:numRef>
          </c:xVal>
          <c:yVal>
            <c:numRef>
              <c:f>'F-35'!$M$3:$M$9</c:f>
              <c:numCache>
                <c:ptCount val="7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27000</c:v>
                </c:pt>
                <c:pt idx="4">
                  <c:v>20000</c:v>
                </c:pt>
                <c:pt idx="5">
                  <c:v>10000</c:v>
                </c:pt>
                <c:pt idx="6">
                  <c:v>0</c:v>
                </c:pt>
              </c:numCache>
            </c:numRef>
          </c:yVal>
          <c:smooth val="1"/>
        </c:ser>
        <c:axId val="36997222"/>
        <c:axId val="64539543"/>
      </c:scatterChart>
      <c:valAx>
        <c:axId val="3699722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539543"/>
        <c:crosses val="autoZero"/>
        <c:crossBetween val="midCat"/>
        <c:dispUnits/>
      </c:valAx>
      <c:valAx>
        <c:axId val="6453954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997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"/>
          <c:w val="0.782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'F-35'!$Q$3:$Q$9</c:f>
              <c:numCache>
                <c:ptCount val="7"/>
              </c:numCache>
            </c:numRef>
          </c:xVal>
          <c:yVal>
            <c:numRef>
              <c:f>'F-35'!$P$3:$P$9</c:f>
              <c:numCache>
                <c:ptCount val="7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21000</c:v>
                </c:pt>
                <c:pt idx="4">
                  <c:v>20000</c:v>
                </c:pt>
                <c:pt idx="5">
                  <c:v>10000</c:v>
                </c:pt>
                <c:pt idx="6">
                  <c:v>0</c:v>
                </c:pt>
              </c:numCache>
            </c:numRef>
          </c:yVal>
          <c:smooth val="1"/>
        </c:ser>
        <c:axId val="43984976"/>
        <c:axId val="60320465"/>
      </c:scatterChart>
      <c:valAx>
        <c:axId val="4398497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320465"/>
        <c:crosses val="autoZero"/>
        <c:crossBetween val="midCat"/>
        <c:dispUnits/>
      </c:valAx>
      <c:valAx>
        <c:axId val="6032046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984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925"/>
          <c:w val="0.7827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'F-35'!$T$3:$T$7</c:f>
              <c:numCache>
                <c:ptCount val="5"/>
              </c:numCache>
            </c:numRef>
          </c:xVal>
          <c:yVal>
            <c:numRef>
              <c:f>'F-35'!$S$3:$S$7</c:f>
              <c:numCache>
                <c:ptCount val="5"/>
                <c:pt idx="0">
                  <c:v>0</c:v>
                </c:pt>
                <c:pt idx="1">
                  <c:v>10000</c:v>
                </c:pt>
                <c:pt idx="2">
                  <c:v>17500</c:v>
                </c:pt>
                <c:pt idx="3">
                  <c:v>10000</c:v>
                </c:pt>
                <c:pt idx="4">
                  <c:v>0</c:v>
                </c:pt>
              </c:numCache>
            </c:numRef>
          </c:yVal>
          <c:smooth val="1"/>
        </c:ser>
        <c:axId val="6013274"/>
        <c:axId val="54119467"/>
      </c:scatterChart>
      <c:valAx>
        <c:axId val="601327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119467"/>
        <c:crosses val="autoZero"/>
        <c:crossBetween val="midCat"/>
        <c:dispUnits/>
      </c:valAx>
      <c:valAx>
        <c:axId val="5411946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13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'F-35'!$W$3:$W$7</c:f>
              <c:numCache>
                <c:ptCount val="5"/>
              </c:numCache>
            </c:numRef>
          </c:xVal>
          <c:yVal>
            <c:numRef>
              <c:f>'F-35'!$V$3:$V$7</c:f>
              <c:numCache>
                <c:ptCount val="5"/>
                <c:pt idx="0">
                  <c:v>0</c:v>
                </c:pt>
                <c:pt idx="1">
                  <c:v>10000</c:v>
                </c:pt>
                <c:pt idx="2">
                  <c:v>13200</c:v>
                </c:pt>
                <c:pt idx="3">
                  <c:v>10000</c:v>
                </c:pt>
                <c:pt idx="4">
                  <c:v>0</c:v>
                </c:pt>
              </c:numCache>
            </c:numRef>
          </c:yVal>
          <c:smooth val="1"/>
        </c:ser>
        <c:axId val="17313156"/>
        <c:axId val="21600677"/>
      </c:scatterChart>
      <c:valAx>
        <c:axId val="1731315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600677"/>
        <c:crosses val="autoZero"/>
        <c:crossBetween val="midCat"/>
        <c:dispUnits/>
      </c:valAx>
      <c:valAx>
        <c:axId val="2160067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313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'F-35'!$Z$3:$Z$5</c:f>
              <c:numCache>
                <c:ptCount val="3"/>
              </c:numCache>
            </c:numRef>
          </c:xVal>
          <c:yVal>
            <c:numRef>
              <c:f>'F-35'!$Y$3:$Y$5</c:f>
              <c:numCache>
                <c:ptCount val="3"/>
                <c:pt idx="0">
                  <c:v>0</c:v>
                </c:pt>
                <c:pt idx="1">
                  <c:v>9400</c:v>
                </c:pt>
                <c:pt idx="2">
                  <c:v>0</c:v>
                </c:pt>
              </c:numCache>
            </c:numRef>
          </c:yVal>
          <c:smooth val="1"/>
        </c:ser>
        <c:axId val="60188366"/>
        <c:axId val="4824383"/>
      </c:scatterChart>
      <c:valAx>
        <c:axId val="6018836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24383"/>
        <c:crosses val="autoZero"/>
        <c:crossBetween val="midCat"/>
        <c:dispUnits/>
      </c:valAx>
      <c:valAx>
        <c:axId val="482438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188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875"/>
          <c:w val="0.7835"/>
          <c:h val="0.93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'F-35'!$AC$3:$AC$5</c:f>
              <c:numCache>
                <c:ptCount val="3"/>
              </c:numCache>
            </c:numRef>
          </c:xVal>
          <c:yVal>
            <c:numRef>
              <c:f>'F-35'!$AB$3:$AB$5</c:f>
              <c:numCache>
                <c:ptCount val="3"/>
                <c:pt idx="0">
                  <c:v>0</c:v>
                </c:pt>
                <c:pt idx="1">
                  <c:v>4100</c:v>
                </c:pt>
                <c:pt idx="2">
                  <c:v>0</c:v>
                </c:pt>
              </c:numCache>
            </c:numRef>
          </c:yVal>
          <c:smooth val="1"/>
        </c:ser>
        <c:axId val="43419448"/>
        <c:axId val="55230713"/>
      </c:scatterChart>
      <c:valAx>
        <c:axId val="4341944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230713"/>
        <c:crosses val="autoZero"/>
        <c:crossBetween val="midCat"/>
        <c:dispUnits/>
      </c:valAx>
      <c:valAx>
        <c:axId val="5523071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419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19"/>
          <c:w val="0.8005"/>
          <c:h val="0.93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'F-35'!$A$3:$A$16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27314370"/>
        <c:axId val="44502739"/>
      </c:scatterChart>
      <c:valAx>
        <c:axId val="2731437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502739"/>
        <c:crosses val="autoZero"/>
        <c:crossBetween val="midCat"/>
        <c:dispUnits/>
      </c:valAx>
      <c:valAx>
        <c:axId val="4450273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314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75"/>
          <c:y val="0.019"/>
          <c:w val="0.7822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'F-4'!$Q$3:$Q$13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'F-4'!$P$3:$P$13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5544688"/>
        <c:axId val="5684465"/>
      </c:scatterChart>
      <c:valAx>
        <c:axId val="1554468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84465"/>
        <c:crosses val="autoZero"/>
        <c:crossBetween val="midCat"/>
        <c:dispUnits/>
      </c:valAx>
      <c:valAx>
        <c:axId val="568446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544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0185"/>
          <c:w val="0.798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'F-35'!$D$3:$D$13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4980332"/>
        <c:axId val="47952077"/>
      </c:scatterChart>
      <c:valAx>
        <c:axId val="6498033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952077"/>
        <c:crosses val="autoZero"/>
        <c:crossBetween val="midCat"/>
        <c:dispUnits/>
      </c:valAx>
      <c:valAx>
        <c:axId val="4795207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980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185"/>
          <c:w val="0.7975"/>
          <c:h val="0.93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'F-35'!$G$3:$G$12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8915510"/>
        <c:axId val="58912999"/>
      </c:scatterChart>
      <c:valAx>
        <c:axId val="2891551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912999"/>
        <c:crosses val="autoZero"/>
        <c:crossBetween val="midCat"/>
        <c:dispUnits/>
      </c:valAx>
      <c:valAx>
        <c:axId val="5891299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915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2"/>
          <c:h val="0.93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'F-35'!$K$3:$K$11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'F-35'!$J$3:$J$11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60454944"/>
        <c:axId val="7223585"/>
      </c:scatterChart>
      <c:valAx>
        <c:axId val="6045494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223585"/>
        <c:crosses val="autoZero"/>
        <c:crossBetween val="midCat"/>
        <c:dispUnits/>
      </c:valAx>
      <c:valAx>
        <c:axId val="722358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454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175"/>
          <c:h val="0.9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'F-35'!$N$3:$N$9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'F-35'!$M$3:$M$9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5012266"/>
        <c:axId val="48239483"/>
      </c:scatterChart>
      <c:valAx>
        <c:axId val="6501226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239483"/>
        <c:crosses val="autoZero"/>
        <c:crossBetween val="midCat"/>
        <c:dispUnits/>
      </c:valAx>
      <c:valAx>
        <c:axId val="4823948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0122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"/>
          <c:w val="0.782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'F-35'!$Q$3:$Q$9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'F-35'!$P$3:$P$9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1502164"/>
        <c:axId val="15084021"/>
      </c:scatterChart>
      <c:valAx>
        <c:axId val="3150216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084021"/>
        <c:crosses val="autoZero"/>
        <c:crossBetween val="midCat"/>
        <c:dispUnits/>
      </c:valAx>
      <c:valAx>
        <c:axId val="1508402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502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925"/>
          <c:w val="0.7827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'F-35'!$T$3:$T$7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'F-35'!$S$3:$S$7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538462"/>
        <c:axId val="13846159"/>
      </c:scatterChart>
      <c:valAx>
        <c:axId val="153846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846159"/>
        <c:crosses val="autoZero"/>
        <c:crossBetween val="midCat"/>
        <c:dispUnits/>
      </c:valAx>
      <c:valAx>
        <c:axId val="1384615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38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'F-35'!$W$3:$W$7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'F-35'!$V$3:$V$7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7506568"/>
        <c:axId val="47797065"/>
      </c:scatterChart>
      <c:valAx>
        <c:axId val="5750656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crossBetween val="midCat"/>
        <c:dispUnits/>
      </c:valAx>
      <c:valAx>
        <c:axId val="4779706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9"/>
          <c:w val="0.783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'F-35'!$Z$3:$Z$5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'F-35'!$Y$3:$Y$5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7520402"/>
        <c:axId val="46357027"/>
      </c:scatterChart>
      <c:valAx>
        <c:axId val="2752040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357027"/>
        <c:crosses val="autoZero"/>
        <c:crossBetween val="midCat"/>
        <c:dispUnits/>
      </c:valAx>
      <c:valAx>
        <c:axId val="4635702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1875"/>
          <c:w val="0.7835"/>
          <c:h val="0.93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'F-35'!$AC$3:$AC$5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'F-35'!$AB$3:$AB$5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4560060"/>
        <c:axId val="63931677"/>
      </c:scatterChart>
      <c:valAx>
        <c:axId val="1456006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931677"/>
        <c:crosses val="autoZero"/>
        <c:crossBetween val="midCat"/>
        <c:dispUnits/>
      </c:valAx>
      <c:valAx>
        <c:axId val="6393167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19"/>
          <c:w val="0.8005"/>
          <c:h val="0.93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'F-111'!$B$3:$B$18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'F-111'!$A$3:$A$18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38514182"/>
        <c:axId val="11083319"/>
      </c:scatterChart>
      <c:valAx>
        <c:axId val="3851418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083319"/>
        <c:crosses val="autoZero"/>
        <c:crossBetween val="midCat"/>
        <c:dispUnits/>
      </c:valAx>
      <c:valAx>
        <c:axId val="1108331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925"/>
          <c:w val="0.7827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'F-4'!$T$3:$T$11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'F-4'!$S$3:$S$11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1160186"/>
        <c:axId val="57788491"/>
      </c:scatterChart>
      <c:valAx>
        <c:axId val="5116018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788491"/>
        <c:crosses val="autoZero"/>
        <c:crossBetween val="midCat"/>
        <c:dispUnits/>
      </c:valAx>
      <c:valAx>
        <c:axId val="5778849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160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5"/>
          <c:y val="0.01875"/>
          <c:w val="0.7985"/>
          <c:h val="0.93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'F-111'!$E$3:$E$18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'F-111'!$D$3:$D$18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32641008"/>
        <c:axId val="25333617"/>
      </c:scatterChart>
      <c:valAx>
        <c:axId val="3264100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crossBetween val="midCat"/>
        <c:dispUnits/>
      </c:valAx>
      <c:valAx>
        <c:axId val="2533361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1875"/>
          <c:w val="0.79725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'F-111'!$H$3:$H$16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'F-111'!$G$3:$G$16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26675962"/>
        <c:axId val="38757067"/>
      </c:scatterChart>
      <c:valAx>
        <c:axId val="2667596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757067"/>
        <c:crosses val="autoZero"/>
        <c:crossBetween val="midCat"/>
        <c:dispUnits/>
      </c:valAx>
      <c:valAx>
        <c:axId val="3875706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5"/>
          <c:w val="0.782"/>
          <c:h val="0.93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'F-111'!$K$3:$K$14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'F-111'!$J$3:$J$14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13269284"/>
        <c:axId val="52314693"/>
      </c:scatterChart>
      <c:valAx>
        <c:axId val="1326928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314693"/>
        <c:crosses val="autoZero"/>
        <c:crossBetween val="midCat"/>
        <c:dispUnits/>
      </c:valAx>
      <c:valAx>
        <c:axId val="5231469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269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175"/>
          <c:h val="0.9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'F-111'!$N$3:$N$14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'F-111'!$M$3:$M$14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1070190"/>
        <c:axId val="9631711"/>
      </c:scatterChart>
      <c:valAx>
        <c:axId val="107019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631711"/>
        <c:crosses val="autoZero"/>
        <c:crossBetween val="midCat"/>
        <c:dispUnits/>
      </c:valAx>
      <c:valAx>
        <c:axId val="963171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70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"/>
          <c:w val="0.782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'F-111'!$Q$3:$Q$11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'F-111'!$P$3:$P$11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9576536"/>
        <c:axId val="41971097"/>
      </c:scatterChart>
      <c:valAx>
        <c:axId val="1957653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971097"/>
        <c:crosses val="autoZero"/>
        <c:crossBetween val="midCat"/>
        <c:dispUnits/>
      </c:valAx>
      <c:valAx>
        <c:axId val="4197109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576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925"/>
          <c:w val="0.78275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'F-111'!$T$3:$T$11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'F-111'!$S$3:$S$11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42195554"/>
        <c:axId val="44215667"/>
      </c:scatterChart>
      <c:valAx>
        <c:axId val="421955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215667"/>
        <c:crosses val="autoZero"/>
        <c:crossBetween val="midCat"/>
        <c:dispUnits/>
      </c:valAx>
      <c:valAx>
        <c:axId val="4421566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195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19"/>
          <c:w val="0.8005"/>
          <c:h val="0.93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'F-117'!$B$3:$B$12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'F-117'!$A$3:$A$12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2396684"/>
        <c:axId val="24699245"/>
      </c:scatterChart>
      <c:valAx>
        <c:axId val="6239668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crossBetween val="midCat"/>
        <c:dispUnits/>
      </c:valAx>
      <c:valAx>
        <c:axId val="2469924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396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5"/>
          <c:y val="0.01875"/>
          <c:w val="0.7985"/>
          <c:h val="0.93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'F-117'!$E$3:$E$11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'F-117'!$D$3:$D$11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0966614"/>
        <c:axId val="54481799"/>
      </c:scatterChart>
      <c:valAx>
        <c:axId val="2096661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crossBetween val="midCat"/>
        <c:dispUnits/>
      </c:valAx>
      <c:valAx>
        <c:axId val="5448179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966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1875"/>
          <c:w val="0.79725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'F-117'!$H$3:$H$11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'F-117'!$G$3:$G$11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0574144"/>
        <c:axId val="50949569"/>
      </c:scatterChart>
      <c:valAx>
        <c:axId val="2057414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crossBetween val="midCat"/>
        <c:dispUnits/>
      </c:valAx>
      <c:valAx>
        <c:axId val="5094956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574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5"/>
          <c:w val="0.782"/>
          <c:h val="0.93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'F-117'!$K$3:$K$14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'F-117'!$J$3:$J$14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55892938"/>
        <c:axId val="33274395"/>
      </c:scatterChart>
      <c:valAx>
        <c:axId val="5589293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274395"/>
        <c:crosses val="autoZero"/>
        <c:crossBetween val="midCat"/>
        <c:dispUnits/>
      </c:valAx>
      <c:valAx>
        <c:axId val="3327439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892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9"/>
          <c:w val="0.7827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'F-4'!$W$3:$W$9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'F-4'!$V$3:$V$9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0334372"/>
        <c:axId val="50356165"/>
      </c:scatterChart>
      <c:valAx>
        <c:axId val="5033437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356165"/>
        <c:crosses val="autoZero"/>
        <c:crossBetween val="midCat"/>
        <c:dispUnits/>
      </c:valAx>
      <c:valAx>
        <c:axId val="5035616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334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175"/>
          <c:h val="0.9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'F-117'!$N$3:$N$14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'F-117'!$M$3:$M$14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31034100"/>
        <c:axId val="10871445"/>
      </c:scatterChart>
      <c:valAx>
        <c:axId val="3103410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871445"/>
        <c:crosses val="autoZero"/>
        <c:crossBetween val="midCat"/>
        <c:dispUnits/>
      </c:valAx>
      <c:valAx>
        <c:axId val="1087144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034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1925"/>
          <c:w val="0.782"/>
          <c:h val="0.93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'F-117'!$Q$3:$Q$11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'F-117'!$P$3:$P$11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0734142"/>
        <c:axId val="8171823"/>
      </c:scatterChart>
      <c:valAx>
        <c:axId val="3073414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171823"/>
        <c:crosses val="autoZero"/>
        <c:crossBetween val="midCat"/>
        <c:dispUnits/>
      </c:valAx>
      <c:valAx>
        <c:axId val="817182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734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019"/>
          <c:w val="0.7827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'F-117'!$T$3:$T$11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'F-117'!$S$3:$S$11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6437544"/>
        <c:axId val="57937897"/>
      </c:scatterChart>
      <c:valAx>
        <c:axId val="643754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937897"/>
        <c:crosses val="autoZero"/>
        <c:crossBetween val="midCat"/>
        <c:dispUnits/>
      </c:valAx>
      <c:valAx>
        <c:axId val="5793789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375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9"/>
          <c:w val="0.78275"/>
          <c:h val="0.9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'F-4'!$Z$3:$Z$5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'F-4'!$Y$3:$Y$5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0552302"/>
        <c:axId val="52317535"/>
      </c:scatterChart>
      <c:valAx>
        <c:axId val="5055230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317535"/>
        <c:crosses val="autoZero"/>
        <c:crossBetween val="midCat"/>
        <c:dispUnits/>
      </c:valAx>
      <c:valAx>
        <c:axId val="5231753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Relationship Id="rId7" Type="http://schemas.openxmlformats.org/officeDocument/2006/relationships/chart" Target="/xl/charts/chart7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38100</xdr:rowOff>
    </xdr:from>
    <xdr:to>
      <xdr:col>7</xdr:col>
      <xdr:colOff>485775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0" y="4248150"/>
        <a:ext cx="5353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7</xdr:col>
      <xdr:colOff>485775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9525" y="7667625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7</xdr:col>
      <xdr:colOff>495300</xdr:colOff>
      <xdr:row>89</xdr:row>
      <xdr:rowOff>57150</xdr:rowOff>
    </xdr:to>
    <xdr:graphicFrame>
      <xdr:nvGraphicFramePr>
        <xdr:cNvPr id="3" name="Chart 3"/>
        <xdr:cNvGraphicFramePr/>
      </xdr:nvGraphicFramePr>
      <xdr:xfrm>
        <a:off x="0" y="11058525"/>
        <a:ext cx="53625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85725</xdr:rowOff>
    </xdr:from>
    <xdr:to>
      <xdr:col>7</xdr:col>
      <xdr:colOff>485775</xdr:colOff>
      <xdr:row>110</xdr:row>
      <xdr:rowOff>19050</xdr:rowOff>
    </xdr:to>
    <xdr:graphicFrame>
      <xdr:nvGraphicFramePr>
        <xdr:cNvPr id="4" name="Chart 4"/>
        <xdr:cNvGraphicFramePr/>
      </xdr:nvGraphicFramePr>
      <xdr:xfrm>
        <a:off x="0" y="14497050"/>
        <a:ext cx="5353050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110</xdr:row>
      <xdr:rowOff>28575</xdr:rowOff>
    </xdr:from>
    <xdr:to>
      <xdr:col>7</xdr:col>
      <xdr:colOff>485775</xdr:colOff>
      <xdr:row>131</xdr:row>
      <xdr:rowOff>0</xdr:rowOff>
    </xdr:to>
    <xdr:graphicFrame>
      <xdr:nvGraphicFramePr>
        <xdr:cNvPr id="5" name="Chart 5"/>
        <xdr:cNvGraphicFramePr/>
      </xdr:nvGraphicFramePr>
      <xdr:xfrm>
        <a:off x="0" y="17840325"/>
        <a:ext cx="53530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131</xdr:row>
      <xdr:rowOff>19050</xdr:rowOff>
    </xdr:from>
    <xdr:to>
      <xdr:col>7</xdr:col>
      <xdr:colOff>485775</xdr:colOff>
      <xdr:row>152</xdr:row>
      <xdr:rowOff>0</xdr:rowOff>
    </xdr:to>
    <xdr:graphicFrame>
      <xdr:nvGraphicFramePr>
        <xdr:cNvPr id="6" name="Chart 6"/>
        <xdr:cNvGraphicFramePr/>
      </xdr:nvGraphicFramePr>
      <xdr:xfrm>
        <a:off x="0" y="21231225"/>
        <a:ext cx="535305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28575</xdr:rowOff>
    </xdr:from>
    <xdr:to>
      <xdr:col>7</xdr:col>
      <xdr:colOff>485775</xdr:colOff>
      <xdr:row>173</xdr:row>
      <xdr:rowOff>19050</xdr:rowOff>
    </xdr:to>
    <xdr:graphicFrame>
      <xdr:nvGraphicFramePr>
        <xdr:cNvPr id="7" name="Chart 7"/>
        <xdr:cNvGraphicFramePr/>
      </xdr:nvGraphicFramePr>
      <xdr:xfrm>
        <a:off x="0" y="24641175"/>
        <a:ext cx="53530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173</xdr:row>
      <xdr:rowOff>28575</xdr:rowOff>
    </xdr:from>
    <xdr:to>
      <xdr:col>7</xdr:col>
      <xdr:colOff>485775</xdr:colOff>
      <xdr:row>194</xdr:row>
      <xdr:rowOff>28575</xdr:rowOff>
    </xdr:to>
    <xdr:graphicFrame>
      <xdr:nvGraphicFramePr>
        <xdr:cNvPr id="8" name="Chart 8"/>
        <xdr:cNvGraphicFramePr/>
      </xdr:nvGraphicFramePr>
      <xdr:xfrm>
        <a:off x="0" y="28041600"/>
        <a:ext cx="5353050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194</xdr:row>
      <xdr:rowOff>38100</xdr:rowOff>
    </xdr:from>
    <xdr:to>
      <xdr:col>7</xdr:col>
      <xdr:colOff>485775</xdr:colOff>
      <xdr:row>215</xdr:row>
      <xdr:rowOff>38100</xdr:rowOff>
    </xdr:to>
    <xdr:graphicFrame>
      <xdr:nvGraphicFramePr>
        <xdr:cNvPr id="9" name="Chart 9"/>
        <xdr:cNvGraphicFramePr/>
      </xdr:nvGraphicFramePr>
      <xdr:xfrm>
        <a:off x="0" y="31451550"/>
        <a:ext cx="5353050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7</xdr:col>
      <xdr:colOff>485775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3924300"/>
        <a:ext cx="5619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45</xdr:row>
      <xdr:rowOff>57150</xdr:rowOff>
    </xdr:from>
    <xdr:to>
      <xdr:col>7</xdr:col>
      <xdr:colOff>485775</xdr:colOff>
      <xdr:row>66</xdr:row>
      <xdr:rowOff>38100</xdr:rowOff>
    </xdr:to>
    <xdr:graphicFrame>
      <xdr:nvGraphicFramePr>
        <xdr:cNvPr id="2" name="Chart 2"/>
        <xdr:cNvGraphicFramePr/>
      </xdr:nvGraphicFramePr>
      <xdr:xfrm>
        <a:off x="9525" y="7343775"/>
        <a:ext cx="56102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47625</xdr:rowOff>
    </xdr:from>
    <xdr:to>
      <xdr:col>7</xdr:col>
      <xdr:colOff>466725</xdr:colOff>
      <xdr:row>87</xdr:row>
      <xdr:rowOff>57150</xdr:rowOff>
    </xdr:to>
    <xdr:graphicFrame>
      <xdr:nvGraphicFramePr>
        <xdr:cNvPr id="3" name="Chart 3"/>
        <xdr:cNvGraphicFramePr/>
      </xdr:nvGraphicFramePr>
      <xdr:xfrm>
        <a:off x="0" y="10734675"/>
        <a:ext cx="56007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85725</xdr:rowOff>
    </xdr:from>
    <xdr:to>
      <xdr:col>7</xdr:col>
      <xdr:colOff>438150</xdr:colOff>
      <xdr:row>108</xdr:row>
      <xdr:rowOff>19050</xdr:rowOff>
    </xdr:to>
    <xdr:graphicFrame>
      <xdr:nvGraphicFramePr>
        <xdr:cNvPr id="4" name="Chart 4"/>
        <xdr:cNvGraphicFramePr/>
      </xdr:nvGraphicFramePr>
      <xdr:xfrm>
        <a:off x="0" y="14173200"/>
        <a:ext cx="55721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108</xdr:row>
      <xdr:rowOff>28575</xdr:rowOff>
    </xdr:from>
    <xdr:to>
      <xdr:col>7</xdr:col>
      <xdr:colOff>428625</xdr:colOff>
      <xdr:row>129</xdr:row>
      <xdr:rowOff>0</xdr:rowOff>
    </xdr:to>
    <xdr:graphicFrame>
      <xdr:nvGraphicFramePr>
        <xdr:cNvPr id="5" name="Chart 5"/>
        <xdr:cNvGraphicFramePr/>
      </xdr:nvGraphicFramePr>
      <xdr:xfrm>
        <a:off x="0" y="17516475"/>
        <a:ext cx="55626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129</xdr:row>
      <xdr:rowOff>19050</xdr:rowOff>
    </xdr:from>
    <xdr:to>
      <xdr:col>7</xdr:col>
      <xdr:colOff>438150</xdr:colOff>
      <xdr:row>150</xdr:row>
      <xdr:rowOff>0</xdr:rowOff>
    </xdr:to>
    <xdr:graphicFrame>
      <xdr:nvGraphicFramePr>
        <xdr:cNvPr id="6" name="Chart 6"/>
        <xdr:cNvGraphicFramePr/>
      </xdr:nvGraphicFramePr>
      <xdr:xfrm>
        <a:off x="0" y="20907375"/>
        <a:ext cx="557212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28575</xdr:rowOff>
    </xdr:from>
    <xdr:to>
      <xdr:col>7</xdr:col>
      <xdr:colOff>447675</xdr:colOff>
      <xdr:row>171</xdr:row>
      <xdr:rowOff>19050</xdr:rowOff>
    </xdr:to>
    <xdr:graphicFrame>
      <xdr:nvGraphicFramePr>
        <xdr:cNvPr id="7" name="Chart 7"/>
        <xdr:cNvGraphicFramePr/>
      </xdr:nvGraphicFramePr>
      <xdr:xfrm>
        <a:off x="0" y="24317325"/>
        <a:ext cx="55816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171</xdr:row>
      <xdr:rowOff>28575</xdr:rowOff>
    </xdr:from>
    <xdr:to>
      <xdr:col>7</xdr:col>
      <xdr:colOff>457200</xdr:colOff>
      <xdr:row>192</xdr:row>
      <xdr:rowOff>28575</xdr:rowOff>
    </xdr:to>
    <xdr:graphicFrame>
      <xdr:nvGraphicFramePr>
        <xdr:cNvPr id="8" name="Chart 8"/>
        <xdr:cNvGraphicFramePr/>
      </xdr:nvGraphicFramePr>
      <xdr:xfrm>
        <a:off x="0" y="27717750"/>
        <a:ext cx="5591175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38100</xdr:rowOff>
    </xdr:from>
    <xdr:to>
      <xdr:col>7</xdr:col>
      <xdr:colOff>485775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0" y="4895850"/>
        <a:ext cx="5353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51</xdr:row>
      <xdr:rowOff>57150</xdr:rowOff>
    </xdr:from>
    <xdr:to>
      <xdr:col>7</xdr:col>
      <xdr:colOff>485775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9525" y="8315325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47625</xdr:rowOff>
    </xdr:from>
    <xdr:to>
      <xdr:col>7</xdr:col>
      <xdr:colOff>466725</xdr:colOff>
      <xdr:row>93</xdr:row>
      <xdr:rowOff>57150</xdr:rowOff>
    </xdr:to>
    <xdr:graphicFrame>
      <xdr:nvGraphicFramePr>
        <xdr:cNvPr id="3" name="Chart 3"/>
        <xdr:cNvGraphicFramePr/>
      </xdr:nvGraphicFramePr>
      <xdr:xfrm>
        <a:off x="0" y="11706225"/>
        <a:ext cx="53340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85725</xdr:rowOff>
    </xdr:from>
    <xdr:to>
      <xdr:col>7</xdr:col>
      <xdr:colOff>438150</xdr:colOff>
      <xdr:row>114</xdr:row>
      <xdr:rowOff>19050</xdr:rowOff>
    </xdr:to>
    <xdr:graphicFrame>
      <xdr:nvGraphicFramePr>
        <xdr:cNvPr id="4" name="Chart 4"/>
        <xdr:cNvGraphicFramePr/>
      </xdr:nvGraphicFramePr>
      <xdr:xfrm>
        <a:off x="0" y="15144750"/>
        <a:ext cx="53054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114</xdr:row>
      <xdr:rowOff>28575</xdr:rowOff>
    </xdr:from>
    <xdr:to>
      <xdr:col>7</xdr:col>
      <xdr:colOff>428625</xdr:colOff>
      <xdr:row>135</xdr:row>
      <xdr:rowOff>0</xdr:rowOff>
    </xdr:to>
    <xdr:graphicFrame>
      <xdr:nvGraphicFramePr>
        <xdr:cNvPr id="5" name="Chart 5"/>
        <xdr:cNvGraphicFramePr/>
      </xdr:nvGraphicFramePr>
      <xdr:xfrm>
        <a:off x="0" y="18488025"/>
        <a:ext cx="52959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135</xdr:row>
      <xdr:rowOff>19050</xdr:rowOff>
    </xdr:from>
    <xdr:to>
      <xdr:col>7</xdr:col>
      <xdr:colOff>438150</xdr:colOff>
      <xdr:row>156</xdr:row>
      <xdr:rowOff>0</xdr:rowOff>
    </xdr:to>
    <xdr:graphicFrame>
      <xdr:nvGraphicFramePr>
        <xdr:cNvPr id="6" name="Chart 6"/>
        <xdr:cNvGraphicFramePr/>
      </xdr:nvGraphicFramePr>
      <xdr:xfrm>
        <a:off x="0" y="21878925"/>
        <a:ext cx="530542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156</xdr:row>
      <xdr:rowOff>28575</xdr:rowOff>
    </xdr:from>
    <xdr:to>
      <xdr:col>7</xdr:col>
      <xdr:colOff>447675</xdr:colOff>
      <xdr:row>177</xdr:row>
      <xdr:rowOff>19050</xdr:rowOff>
    </xdr:to>
    <xdr:graphicFrame>
      <xdr:nvGraphicFramePr>
        <xdr:cNvPr id="7" name="Chart 7"/>
        <xdr:cNvGraphicFramePr/>
      </xdr:nvGraphicFramePr>
      <xdr:xfrm>
        <a:off x="0" y="25288875"/>
        <a:ext cx="53149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177</xdr:row>
      <xdr:rowOff>28575</xdr:rowOff>
    </xdr:from>
    <xdr:to>
      <xdr:col>7</xdr:col>
      <xdr:colOff>457200</xdr:colOff>
      <xdr:row>198</xdr:row>
      <xdr:rowOff>28575</xdr:rowOff>
    </xdr:to>
    <xdr:graphicFrame>
      <xdr:nvGraphicFramePr>
        <xdr:cNvPr id="8" name="Chart 8"/>
        <xdr:cNvGraphicFramePr/>
      </xdr:nvGraphicFramePr>
      <xdr:xfrm>
        <a:off x="0" y="28689300"/>
        <a:ext cx="5324475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198</xdr:row>
      <xdr:rowOff>38100</xdr:rowOff>
    </xdr:from>
    <xdr:to>
      <xdr:col>7</xdr:col>
      <xdr:colOff>457200</xdr:colOff>
      <xdr:row>219</xdr:row>
      <xdr:rowOff>38100</xdr:rowOff>
    </xdr:to>
    <xdr:graphicFrame>
      <xdr:nvGraphicFramePr>
        <xdr:cNvPr id="9" name="Chart 9"/>
        <xdr:cNvGraphicFramePr/>
      </xdr:nvGraphicFramePr>
      <xdr:xfrm>
        <a:off x="0" y="32099250"/>
        <a:ext cx="5324475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219</xdr:row>
      <xdr:rowOff>57150</xdr:rowOff>
    </xdr:from>
    <xdr:to>
      <xdr:col>7</xdr:col>
      <xdr:colOff>466725</xdr:colOff>
      <xdr:row>240</xdr:row>
      <xdr:rowOff>66675</xdr:rowOff>
    </xdr:to>
    <xdr:graphicFrame>
      <xdr:nvGraphicFramePr>
        <xdr:cNvPr id="10" name="Chart 10"/>
        <xdr:cNvGraphicFramePr/>
      </xdr:nvGraphicFramePr>
      <xdr:xfrm>
        <a:off x="0" y="35518725"/>
        <a:ext cx="533400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241</xdr:row>
      <xdr:rowOff>0</xdr:rowOff>
    </xdr:from>
    <xdr:to>
      <xdr:col>7</xdr:col>
      <xdr:colOff>476250</xdr:colOff>
      <xdr:row>262</xdr:row>
      <xdr:rowOff>19050</xdr:rowOff>
    </xdr:to>
    <xdr:graphicFrame>
      <xdr:nvGraphicFramePr>
        <xdr:cNvPr id="11" name="Chart 15"/>
        <xdr:cNvGraphicFramePr/>
      </xdr:nvGraphicFramePr>
      <xdr:xfrm>
        <a:off x="0" y="39023925"/>
        <a:ext cx="5343525" cy="3419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38100</xdr:rowOff>
    </xdr:from>
    <xdr:to>
      <xdr:col>7</xdr:col>
      <xdr:colOff>485775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0" y="4895850"/>
        <a:ext cx="5353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51</xdr:row>
      <xdr:rowOff>57150</xdr:rowOff>
    </xdr:from>
    <xdr:to>
      <xdr:col>7</xdr:col>
      <xdr:colOff>485775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9525" y="8315325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47625</xdr:rowOff>
    </xdr:from>
    <xdr:to>
      <xdr:col>7</xdr:col>
      <xdr:colOff>466725</xdr:colOff>
      <xdr:row>93</xdr:row>
      <xdr:rowOff>57150</xdr:rowOff>
    </xdr:to>
    <xdr:graphicFrame>
      <xdr:nvGraphicFramePr>
        <xdr:cNvPr id="3" name="Chart 3"/>
        <xdr:cNvGraphicFramePr/>
      </xdr:nvGraphicFramePr>
      <xdr:xfrm>
        <a:off x="0" y="11706225"/>
        <a:ext cx="53340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85725</xdr:rowOff>
    </xdr:from>
    <xdr:to>
      <xdr:col>7</xdr:col>
      <xdr:colOff>438150</xdr:colOff>
      <xdr:row>114</xdr:row>
      <xdr:rowOff>19050</xdr:rowOff>
    </xdr:to>
    <xdr:graphicFrame>
      <xdr:nvGraphicFramePr>
        <xdr:cNvPr id="4" name="Chart 4"/>
        <xdr:cNvGraphicFramePr/>
      </xdr:nvGraphicFramePr>
      <xdr:xfrm>
        <a:off x="0" y="15144750"/>
        <a:ext cx="53054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114</xdr:row>
      <xdr:rowOff>28575</xdr:rowOff>
    </xdr:from>
    <xdr:to>
      <xdr:col>7</xdr:col>
      <xdr:colOff>428625</xdr:colOff>
      <xdr:row>135</xdr:row>
      <xdr:rowOff>0</xdr:rowOff>
    </xdr:to>
    <xdr:graphicFrame>
      <xdr:nvGraphicFramePr>
        <xdr:cNvPr id="5" name="Chart 5"/>
        <xdr:cNvGraphicFramePr/>
      </xdr:nvGraphicFramePr>
      <xdr:xfrm>
        <a:off x="0" y="18488025"/>
        <a:ext cx="52959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135</xdr:row>
      <xdr:rowOff>19050</xdr:rowOff>
    </xdr:from>
    <xdr:to>
      <xdr:col>7</xdr:col>
      <xdr:colOff>438150</xdr:colOff>
      <xdr:row>156</xdr:row>
      <xdr:rowOff>0</xdr:rowOff>
    </xdr:to>
    <xdr:graphicFrame>
      <xdr:nvGraphicFramePr>
        <xdr:cNvPr id="6" name="Chart 6"/>
        <xdr:cNvGraphicFramePr/>
      </xdr:nvGraphicFramePr>
      <xdr:xfrm>
        <a:off x="0" y="21878925"/>
        <a:ext cx="530542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156</xdr:row>
      <xdr:rowOff>28575</xdr:rowOff>
    </xdr:from>
    <xdr:to>
      <xdr:col>7</xdr:col>
      <xdr:colOff>447675</xdr:colOff>
      <xdr:row>177</xdr:row>
      <xdr:rowOff>19050</xdr:rowOff>
    </xdr:to>
    <xdr:graphicFrame>
      <xdr:nvGraphicFramePr>
        <xdr:cNvPr id="7" name="Chart 7"/>
        <xdr:cNvGraphicFramePr/>
      </xdr:nvGraphicFramePr>
      <xdr:xfrm>
        <a:off x="0" y="25288875"/>
        <a:ext cx="53149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177</xdr:row>
      <xdr:rowOff>28575</xdr:rowOff>
    </xdr:from>
    <xdr:to>
      <xdr:col>7</xdr:col>
      <xdr:colOff>457200</xdr:colOff>
      <xdr:row>198</xdr:row>
      <xdr:rowOff>28575</xdr:rowOff>
    </xdr:to>
    <xdr:graphicFrame>
      <xdr:nvGraphicFramePr>
        <xdr:cNvPr id="8" name="Chart 8"/>
        <xdr:cNvGraphicFramePr/>
      </xdr:nvGraphicFramePr>
      <xdr:xfrm>
        <a:off x="0" y="28689300"/>
        <a:ext cx="5324475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198</xdr:row>
      <xdr:rowOff>38100</xdr:rowOff>
    </xdr:from>
    <xdr:to>
      <xdr:col>7</xdr:col>
      <xdr:colOff>457200</xdr:colOff>
      <xdr:row>219</xdr:row>
      <xdr:rowOff>38100</xdr:rowOff>
    </xdr:to>
    <xdr:graphicFrame>
      <xdr:nvGraphicFramePr>
        <xdr:cNvPr id="9" name="Chart 9"/>
        <xdr:cNvGraphicFramePr/>
      </xdr:nvGraphicFramePr>
      <xdr:xfrm>
        <a:off x="0" y="32099250"/>
        <a:ext cx="5324475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219</xdr:row>
      <xdr:rowOff>57150</xdr:rowOff>
    </xdr:from>
    <xdr:to>
      <xdr:col>7</xdr:col>
      <xdr:colOff>466725</xdr:colOff>
      <xdr:row>240</xdr:row>
      <xdr:rowOff>66675</xdr:rowOff>
    </xdr:to>
    <xdr:graphicFrame>
      <xdr:nvGraphicFramePr>
        <xdr:cNvPr id="10" name="Chart 10"/>
        <xdr:cNvGraphicFramePr/>
      </xdr:nvGraphicFramePr>
      <xdr:xfrm>
        <a:off x="0" y="35518725"/>
        <a:ext cx="533400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7</xdr:col>
      <xdr:colOff>485775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0" y="5381625"/>
        <a:ext cx="5353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54</xdr:row>
      <xdr:rowOff>57150</xdr:rowOff>
    </xdr:from>
    <xdr:to>
      <xdr:col>7</xdr:col>
      <xdr:colOff>485775</xdr:colOff>
      <xdr:row>75</xdr:row>
      <xdr:rowOff>38100</xdr:rowOff>
    </xdr:to>
    <xdr:graphicFrame>
      <xdr:nvGraphicFramePr>
        <xdr:cNvPr id="2" name="Chart 2"/>
        <xdr:cNvGraphicFramePr/>
      </xdr:nvGraphicFramePr>
      <xdr:xfrm>
        <a:off x="9525" y="8801100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47625</xdr:rowOff>
    </xdr:from>
    <xdr:to>
      <xdr:col>7</xdr:col>
      <xdr:colOff>466725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0" y="12192000"/>
        <a:ext cx="53340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85725</xdr:rowOff>
    </xdr:from>
    <xdr:to>
      <xdr:col>7</xdr:col>
      <xdr:colOff>438150</xdr:colOff>
      <xdr:row>117</xdr:row>
      <xdr:rowOff>19050</xdr:rowOff>
    </xdr:to>
    <xdr:graphicFrame>
      <xdr:nvGraphicFramePr>
        <xdr:cNvPr id="4" name="Chart 4"/>
        <xdr:cNvGraphicFramePr/>
      </xdr:nvGraphicFramePr>
      <xdr:xfrm>
        <a:off x="0" y="15630525"/>
        <a:ext cx="53054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117</xdr:row>
      <xdr:rowOff>28575</xdr:rowOff>
    </xdr:from>
    <xdr:to>
      <xdr:col>7</xdr:col>
      <xdr:colOff>428625</xdr:colOff>
      <xdr:row>138</xdr:row>
      <xdr:rowOff>0</xdr:rowOff>
    </xdr:to>
    <xdr:graphicFrame>
      <xdr:nvGraphicFramePr>
        <xdr:cNvPr id="5" name="Chart 5"/>
        <xdr:cNvGraphicFramePr/>
      </xdr:nvGraphicFramePr>
      <xdr:xfrm>
        <a:off x="0" y="18973800"/>
        <a:ext cx="52959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7</xdr:col>
      <xdr:colOff>438150</xdr:colOff>
      <xdr:row>159</xdr:row>
      <xdr:rowOff>0</xdr:rowOff>
    </xdr:to>
    <xdr:graphicFrame>
      <xdr:nvGraphicFramePr>
        <xdr:cNvPr id="6" name="Chart 6"/>
        <xdr:cNvGraphicFramePr/>
      </xdr:nvGraphicFramePr>
      <xdr:xfrm>
        <a:off x="0" y="22364700"/>
        <a:ext cx="530542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159</xdr:row>
      <xdr:rowOff>28575</xdr:rowOff>
    </xdr:from>
    <xdr:to>
      <xdr:col>7</xdr:col>
      <xdr:colOff>447675</xdr:colOff>
      <xdr:row>180</xdr:row>
      <xdr:rowOff>19050</xdr:rowOff>
    </xdr:to>
    <xdr:graphicFrame>
      <xdr:nvGraphicFramePr>
        <xdr:cNvPr id="7" name="Chart 7"/>
        <xdr:cNvGraphicFramePr/>
      </xdr:nvGraphicFramePr>
      <xdr:xfrm>
        <a:off x="0" y="25774650"/>
        <a:ext cx="53149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180</xdr:row>
      <xdr:rowOff>28575</xdr:rowOff>
    </xdr:from>
    <xdr:to>
      <xdr:col>7</xdr:col>
      <xdr:colOff>457200</xdr:colOff>
      <xdr:row>201</xdr:row>
      <xdr:rowOff>28575</xdr:rowOff>
    </xdr:to>
    <xdr:graphicFrame>
      <xdr:nvGraphicFramePr>
        <xdr:cNvPr id="8" name="Chart 8"/>
        <xdr:cNvGraphicFramePr/>
      </xdr:nvGraphicFramePr>
      <xdr:xfrm>
        <a:off x="0" y="29175075"/>
        <a:ext cx="5324475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201</xdr:row>
      <xdr:rowOff>38100</xdr:rowOff>
    </xdr:from>
    <xdr:to>
      <xdr:col>7</xdr:col>
      <xdr:colOff>457200</xdr:colOff>
      <xdr:row>222</xdr:row>
      <xdr:rowOff>38100</xdr:rowOff>
    </xdr:to>
    <xdr:graphicFrame>
      <xdr:nvGraphicFramePr>
        <xdr:cNvPr id="9" name="Chart 9"/>
        <xdr:cNvGraphicFramePr/>
      </xdr:nvGraphicFramePr>
      <xdr:xfrm>
        <a:off x="0" y="32585025"/>
        <a:ext cx="5324475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222</xdr:row>
      <xdr:rowOff>57150</xdr:rowOff>
    </xdr:from>
    <xdr:to>
      <xdr:col>7</xdr:col>
      <xdr:colOff>466725</xdr:colOff>
      <xdr:row>243</xdr:row>
      <xdr:rowOff>66675</xdr:rowOff>
    </xdr:to>
    <xdr:graphicFrame>
      <xdr:nvGraphicFramePr>
        <xdr:cNvPr id="10" name="Chart 10"/>
        <xdr:cNvGraphicFramePr/>
      </xdr:nvGraphicFramePr>
      <xdr:xfrm>
        <a:off x="0" y="36004500"/>
        <a:ext cx="533400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38100</xdr:rowOff>
    </xdr:from>
    <xdr:to>
      <xdr:col>7</xdr:col>
      <xdr:colOff>485775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0" y="4895850"/>
        <a:ext cx="5353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51</xdr:row>
      <xdr:rowOff>57150</xdr:rowOff>
    </xdr:from>
    <xdr:to>
      <xdr:col>7</xdr:col>
      <xdr:colOff>485775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9525" y="8315325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47625</xdr:rowOff>
    </xdr:from>
    <xdr:to>
      <xdr:col>7</xdr:col>
      <xdr:colOff>466725</xdr:colOff>
      <xdr:row>93</xdr:row>
      <xdr:rowOff>57150</xdr:rowOff>
    </xdr:to>
    <xdr:graphicFrame>
      <xdr:nvGraphicFramePr>
        <xdr:cNvPr id="3" name="Chart 3"/>
        <xdr:cNvGraphicFramePr/>
      </xdr:nvGraphicFramePr>
      <xdr:xfrm>
        <a:off x="0" y="11706225"/>
        <a:ext cx="53340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85725</xdr:rowOff>
    </xdr:from>
    <xdr:to>
      <xdr:col>7</xdr:col>
      <xdr:colOff>438150</xdr:colOff>
      <xdr:row>114</xdr:row>
      <xdr:rowOff>19050</xdr:rowOff>
    </xdr:to>
    <xdr:graphicFrame>
      <xdr:nvGraphicFramePr>
        <xdr:cNvPr id="4" name="Chart 4"/>
        <xdr:cNvGraphicFramePr/>
      </xdr:nvGraphicFramePr>
      <xdr:xfrm>
        <a:off x="0" y="15144750"/>
        <a:ext cx="53054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114</xdr:row>
      <xdr:rowOff>28575</xdr:rowOff>
    </xdr:from>
    <xdr:to>
      <xdr:col>7</xdr:col>
      <xdr:colOff>428625</xdr:colOff>
      <xdr:row>135</xdr:row>
      <xdr:rowOff>0</xdr:rowOff>
    </xdr:to>
    <xdr:graphicFrame>
      <xdr:nvGraphicFramePr>
        <xdr:cNvPr id="5" name="Chart 5"/>
        <xdr:cNvGraphicFramePr/>
      </xdr:nvGraphicFramePr>
      <xdr:xfrm>
        <a:off x="0" y="18488025"/>
        <a:ext cx="52959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135</xdr:row>
      <xdr:rowOff>19050</xdr:rowOff>
    </xdr:from>
    <xdr:to>
      <xdr:col>7</xdr:col>
      <xdr:colOff>438150</xdr:colOff>
      <xdr:row>156</xdr:row>
      <xdr:rowOff>0</xdr:rowOff>
    </xdr:to>
    <xdr:graphicFrame>
      <xdr:nvGraphicFramePr>
        <xdr:cNvPr id="6" name="Chart 6"/>
        <xdr:cNvGraphicFramePr/>
      </xdr:nvGraphicFramePr>
      <xdr:xfrm>
        <a:off x="0" y="21878925"/>
        <a:ext cx="530542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156</xdr:row>
      <xdr:rowOff>28575</xdr:rowOff>
    </xdr:from>
    <xdr:to>
      <xdr:col>7</xdr:col>
      <xdr:colOff>447675</xdr:colOff>
      <xdr:row>177</xdr:row>
      <xdr:rowOff>19050</xdr:rowOff>
    </xdr:to>
    <xdr:graphicFrame>
      <xdr:nvGraphicFramePr>
        <xdr:cNvPr id="7" name="Chart 7"/>
        <xdr:cNvGraphicFramePr/>
      </xdr:nvGraphicFramePr>
      <xdr:xfrm>
        <a:off x="0" y="25288875"/>
        <a:ext cx="53149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177</xdr:row>
      <xdr:rowOff>28575</xdr:rowOff>
    </xdr:from>
    <xdr:to>
      <xdr:col>7</xdr:col>
      <xdr:colOff>457200</xdr:colOff>
      <xdr:row>198</xdr:row>
      <xdr:rowOff>28575</xdr:rowOff>
    </xdr:to>
    <xdr:graphicFrame>
      <xdr:nvGraphicFramePr>
        <xdr:cNvPr id="8" name="Chart 8"/>
        <xdr:cNvGraphicFramePr/>
      </xdr:nvGraphicFramePr>
      <xdr:xfrm>
        <a:off x="0" y="28689300"/>
        <a:ext cx="5324475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198</xdr:row>
      <xdr:rowOff>38100</xdr:rowOff>
    </xdr:from>
    <xdr:to>
      <xdr:col>7</xdr:col>
      <xdr:colOff>457200</xdr:colOff>
      <xdr:row>219</xdr:row>
      <xdr:rowOff>38100</xdr:rowOff>
    </xdr:to>
    <xdr:graphicFrame>
      <xdr:nvGraphicFramePr>
        <xdr:cNvPr id="9" name="Chart 9"/>
        <xdr:cNvGraphicFramePr/>
      </xdr:nvGraphicFramePr>
      <xdr:xfrm>
        <a:off x="0" y="32099250"/>
        <a:ext cx="5324475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219</xdr:row>
      <xdr:rowOff>57150</xdr:rowOff>
    </xdr:from>
    <xdr:to>
      <xdr:col>7</xdr:col>
      <xdr:colOff>466725</xdr:colOff>
      <xdr:row>240</xdr:row>
      <xdr:rowOff>66675</xdr:rowOff>
    </xdr:to>
    <xdr:graphicFrame>
      <xdr:nvGraphicFramePr>
        <xdr:cNvPr id="10" name="Chart 10"/>
        <xdr:cNvGraphicFramePr/>
      </xdr:nvGraphicFramePr>
      <xdr:xfrm>
        <a:off x="0" y="35518725"/>
        <a:ext cx="533400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38100</xdr:rowOff>
    </xdr:from>
    <xdr:to>
      <xdr:col>7</xdr:col>
      <xdr:colOff>485775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0" y="4895850"/>
        <a:ext cx="5353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51</xdr:row>
      <xdr:rowOff>57150</xdr:rowOff>
    </xdr:from>
    <xdr:to>
      <xdr:col>7</xdr:col>
      <xdr:colOff>485775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9525" y="8315325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47625</xdr:rowOff>
    </xdr:from>
    <xdr:to>
      <xdr:col>7</xdr:col>
      <xdr:colOff>466725</xdr:colOff>
      <xdr:row>93</xdr:row>
      <xdr:rowOff>57150</xdr:rowOff>
    </xdr:to>
    <xdr:graphicFrame>
      <xdr:nvGraphicFramePr>
        <xdr:cNvPr id="3" name="Chart 3"/>
        <xdr:cNvGraphicFramePr/>
      </xdr:nvGraphicFramePr>
      <xdr:xfrm>
        <a:off x="0" y="11706225"/>
        <a:ext cx="53340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85725</xdr:rowOff>
    </xdr:from>
    <xdr:to>
      <xdr:col>7</xdr:col>
      <xdr:colOff>438150</xdr:colOff>
      <xdr:row>114</xdr:row>
      <xdr:rowOff>19050</xdr:rowOff>
    </xdr:to>
    <xdr:graphicFrame>
      <xdr:nvGraphicFramePr>
        <xdr:cNvPr id="4" name="Chart 4"/>
        <xdr:cNvGraphicFramePr/>
      </xdr:nvGraphicFramePr>
      <xdr:xfrm>
        <a:off x="0" y="15144750"/>
        <a:ext cx="53054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114</xdr:row>
      <xdr:rowOff>28575</xdr:rowOff>
    </xdr:from>
    <xdr:to>
      <xdr:col>7</xdr:col>
      <xdr:colOff>428625</xdr:colOff>
      <xdr:row>135</xdr:row>
      <xdr:rowOff>0</xdr:rowOff>
    </xdr:to>
    <xdr:graphicFrame>
      <xdr:nvGraphicFramePr>
        <xdr:cNvPr id="5" name="Chart 5"/>
        <xdr:cNvGraphicFramePr/>
      </xdr:nvGraphicFramePr>
      <xdr:xfrm>
        <a:off x="0" y="18488025"/>
        <a:ext cx="52959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135</xdr:row>
      <xdr:rowOff>19050</xdr:rowOff>
    </xdr:from>
    <xdr:to>
      <xdr:col>7</xdr:col>
      <xdr:colOff>438150</xdr:colOff>
      <xdr:row>156</xdr:row>
      <xdr:rowOff>0</xdr:rowOff>
    </xdr:to>
    <xdr:graphicFrame>
      <xdr:nvGraphicFramePr>
        <xdr:cNvPr id="6" name="Chart 6"/>
        <xdr:cNvGraphicFramePr/>
      </xdr:nvGraphicFramePr>
      <xdr:xfrm>
        <a:off x="0" y="21878925"/>
        <a:ext cx="530542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156</xdr:row>
      <xdr:rowOff>28575</xdr:rowOff>
    </xdr:from>
    <xdr:to>
      <xdr:col>7</xdr:col>
      <xdr:colOff>447675</xdr:colOff>
      <xdr:row>177</xdr:row>
      <xdr:rowOff>19050</xdr:rowOff>
    </xdr:to>
    <xdr:graphicFrame>
      <xdr:nvGraphicFramePr>
        <xdr:cNvPr id="7" name="Chart 7"/>
        <xdr:cNvGraphicFramePr/>
      </xdr:nvGraphicFramePr>
      <xdr:xfrm>
        <a:off x="0" y="25288875"/>
        <a:ext cx="53149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177</xdr:row>
      <xdr:rowOff>28575</xdr:rowOff>
    </xdr:from>
    <xdr:to>
      <xdr:col>7</xdr:col>
      <xdr:colOff>457200</xdr:colOff>
      <xdr:row>198</xdr:row>
      <xdr:rowOff>28575</xdr:rowOff>
    </xdr:to>
    <xdr:graphicFrame>
      <xdr:nvGraphicFramePr>
        <xdr:cNvPr id="8" name="Chart 8"/>
        <xdr:cNvGraphicFramePr/>
      </xdr:nvGraphicFramePr>
      <xdr:xfrm>
        <a:off x="0" y="28689300"/>
        <a:ext cx="5324475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198</xdr:row>
      <xdr:rowOff>38100</xdr:rowOff>
    </xdr:from>
    <xdr:to>
      <xdr:col>7</xdr:col>
      <xdr:colOff>457200</xdr:colOff>
      <xdr:row>219</xdr:row>
      <xdr:rowOff>38100</xdr:rowOff>
    </xdr:to>
    <xdr:graphicFrame>
      <xdr:nvGraphicFramePr>
        <xdr:cNvPr id="9" name="Chart 9"/>
        <xdr:cNvGraphicFramePr/>
      </xdr:nvGraphicFramePr>
      <xdr:xfrm>
        <a:off x="0" y="32099250"/>
        <a:ext cx="5324475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219</xdr:row>
      <xdr:rowOff>57150</xdr:rowOff>
    </xdr:from>
    <xdr:to>
      <xdr:col>7</xdr:col>
      <xdr:colOff>466725</xdr:colOff>
      <xdr:row>240</xdr:row>
      <xdr:rowOff>66675</xdr:rowOff>
    </xdr:to>
    <xdr:graphicFrame>
      <xdr:nvGraphicFramePr>
        <xdr:cNvPr id="10" name="Chart 10"/>
        <xdr:cNvGraphicFramePr/>
      </xdr:nvGraphicFramePr>
      <xdr:xfrm>
        <a:off x="0" y="35518725"/>
        <a:ext cx="533400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38100</xdr:rowOff>
    </xdr:from>
    <xdr:to>
      <xdr:col>7</xdr:col>
      <xdr:colOff>485775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0" y="4248150"/>
        <a:ext cx="5353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7</xdr:col>
      <xdr:colOff>485775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9525" y="7667625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7</xdr:col>
      <xdr:colOff>466725</xdr:colOff>
      <xdr:row>89</xdr:row>
      <xdr:rowOff>57150</xdr:rowOff>
    </xdr:to>
    <xdr:graphicFrame>
      <xdr:nvGraphicFramePr>
        <xdr:cNvPr id="3" name="Chart 3"/>
        <xdr:cNvGraphicFramePr/>
      </xdr:nvGraphicFramePr>
      <xdr:xfrm>
        <a:off x="0" y="11058525"/>
        <a:ext cx="53340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85725</xdr:rowOff>
    </xdr:from>
    <xdr:to>
      <xdr:col>7</xdr:col>
      <xdr:colOff>438150</xdr:colOff>
      <xdr:row>110</xdr:row>
      <xdr:rowOff>19050</xdr:rowOff>
    </xdr:to>
    <xdr:graphicFrame>
      <xdr:nvGraphicFramePr>
        <xdr:cNvPr id="4" name="Chart 4"/>
        <xdr:cNvGraphicFramePr/>
      </xdr:nvGraphicFramePr>
      <xdr:xfrm>
        <a:off x="0" y="14497050"/>
        <a:ext cx="53054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110</xdr:row>
      <xdr:rowOff>28575</xdr:rowOff>
    </xdr:from>
    <xdr:to>
      <xdr:col>7</xdr:col>
      <xdr:colOff>428625</xdr:colOff>
      <xdr:row>131</xdr:row>
      <xdr:rowOff>0</xdr:rowOff>
    </xdr:to>
    <xdr:graphicFrame>
      <xdr:nvGraphicFramePr>
        <xdr:cNvPr id="5" name="Chart 5"/>
        <xdr:cNvGraphicFramePr/>
      </xdr:nvGraphicFramePr>
      <xdr:xfrm>
        <a:off x="0" y="17840325"/>
        <a:ext cx="52959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131</xdr:row>
      <xdr:rowOff>19050</xdr:rowOff>
    </xdr:from>
    <xdr:to>
      <xdr:col>7</xdr:col>
      <xdr:colOff>438150</xdr:colOff>
      <xdr:row>152</xdr:row>
      <xdr:rowOff>0</xdr:rowOff>
    </xdr:to>
    <xdr:graphicFrame>
      <xdr:nvGraphicFramePr>
        <xdr:cNvPr id="6" name="Chart 6"/>
        <xdr:cNvGraphicFramePr/>
      </xdr:nvGraphicFramePr>
      <xdr:xfrm>
        <a:off x="0" y="21231225"/>
        <a:ext cx="530542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28575</xdr:rowOff>
    </xdr:from>
    <xdr:to>
      <xdr:col>7</xdr:col>
      <xdr:colOff>447675</xdr:colOff>
      <xdr:row>173</xdr:row>
      <xdr:rowOff>19050</xdr:rowOff>
    </xdr:to>
    <xdr:graphicFrame>
      <xdr:nvGraphicFramePr>
        <xdr:cNvPr id="7" name="Chart 7"/>
        <xdr:cNvGraphicFramePr/>
      </xdr:nvGraphicFramePr>
      <xdr:xfrm>
        <a:off x="0" y="24641175"/>
        <a:ext cx="53149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38100</xdr:rowOff>
    </xdr:from>
    <xdr:to>
      <xdr:col>7</xdr:col>
      <xdr:colOff>485775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0" y="4248150"/>
        <a:ext cx="5353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7</xdr:col>
      <xdr:colOff>485775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9525" y="7667625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7</xdr:col>
      <xdr:colOff>466725</xdr:colOff>
      <xdr:row>89</xdr:row>
      <xdr:rowOff>57150</xdr:rowOff>
    </xdr:to>
    <xdr:graphicFrame>
      <xdr:nvGraphicFramePr>
        <xdr:cNvPr id="3" name="Chart 3"/>
        <xdr:cNvGraphicFramePr/>
      </xdr:nvGraphicFramePr>
      <xdr:xfrm>
        <a:off x="0" y="11058525"/>
        <a:ext cx="53340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85725</xdr:rowOff>
    </xdr:from>
    <xdr:to>
      <xdr:col>7</xdr:col>
      <xdr:colOff>438150</xdr:colOff>
      <xdr:row>110</xdr:row>
      <xdr:rowOff>19050</xdr:rowOff>
    </xdr:to>
    <xdr:graphicFrame>
      <xdr:nvGraphicFramePr>
        <xdr:cNvPr id="4" name="Chart 4"/>
        <xdr:cNvGraphicFramePr/>
      </xdr:nvGraphicFramePr>
      <xdr:xfrm>
        <a:off x="0" y="14497050"/>
        <a:ext cx="53054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110</xdr:row>
      <xdr:rowOff>28575</xdr:rowOff>
    </xdr:from>
    <xdr:to>
      <xdr:col>7</xdr:col>
      <xdr:colOff>428625</xdr:colOff>
      <xdr:row>131</xdr:row>
      <xdr:rowOff>0</xdr:rowOff>
    </xdr:to>
    <xdr:graphicFrame>
      <xdr:nvGraphicFramePr>
        <xdr:cNvPr id="5" name="Chart 5"/>
        <xdr:cNvGraphicFramePr/>
      </xdr:nvGraphicFramePr>
      <xdr:xfrm>
        <a:off x="0" y="17840325"/>
        <a:ext cx="52959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447675</xdr:colOff>
      <xdr:row>151</xdr:row>
      <xdr:rowOff>152400</xdr:rowOff>
    </xdr:to>
    <xdr:graphicFrame>
      <xdr:nvGraphicFramePr>
        <xdr:cNvPr id="6" name="Chart 8"/>
        <xdr:cNvGraphicFramePr/>
      </xdr:nvGraphicFramePr>
      <xdr:xfrm>
        <a:off x="0" y="21212175"/>
        <a:ext cx="531495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7</xdr:col>
      <xdr:colOff>457200</xdr:colOff>
      <xdr:row>173</xdr:row>
      <xdr:rowOff>0</xdr:rowOff>
    </xdr:to>
    <xdr:graphicFrame>
      <xdr:nvGraphicFramePr>
        <xdr:cNvPr id="7" name="Chart 9"/>
        <xdr:cNvGraphicFramePr/>
      </xdr:nvGraphicFramePr>
      <xdr:xfrm>
        <a:off x="0" y="24612600"/>
        <a:ext cx="5324475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7"/>
  <sheetViews>
    <sheetView workbookViewId="0" topLeftCell="D10">
      <selection activeCell="K20" sqref="K20"/>
    </sheetView>
  </sheetViews>
  <sheetFormatPr defaultColWidth="9.140625" defaultRowHeight="12.75"/>
  <cols>
    <col min="1" max="10" width="10.421875" style="0" customWidth="1"/>
    <col min="11" max="11" width="11.7109375" style="0" customWidth="1"/>
    <col min="12" max="14" width="12.421875" style="0" customWidth="1"/>
    <col min="15" max="15" width="13.421875" style="0" customWidth="1"/>
    <col min="16" max="16" width="12.7109375" style="0" customWidth="1"/>
    <col min="17" max="17" width="12.421875" style="0" customWidth="1"/>
    <col min="18" max="27" width="10.421875" style="0" customWidth="1"/>
    <col min="28" max="28" width="2.140625" style="0" customWidth="1"/>
    <col min="29" max="31" width="10.421875" style="0" customWidth="1"/>
    <col min="32" max="32" width="10.57421875" style="0" customWidth="1"/>
    <col min="33" max="35" width="10.421875" style="0" customWidth="1"/>
    <col min="36" max="36" width="11.7109375" style="0" customWidth="1"/>
    <col min="37" max="40" width="10.421875" style="0" customWidth="1"/>
    <col min="41" max="41" width="2.7109375" style="0" customWidth="1"/>
    <col min="42" max="16384" width="10.421875" style="0" customWidth="1"/>
  </cols>
  <sheetData>
    <row r="1" spans="1:44" ht="12.75">
      <c r="A1" s="1" t="s">
        <v>699</v>
      </c>
      <c r="B1" t="s">
        <v>743</v>
      </c>
      <c r="C1" s="8" t="s">
        <v>719</v>
      </c>
      <c r="D1" s="3" t="s">
        <v>700</v>
      </c>
      <c r="E1" t="s">
        <v>743</v>
      </c>
      <c r="F1" s="8" t="s">
        <v>719</v>
      </c>
      <c r="G1" s="3" t="s">
        <v>701</v>
      </c>
      <c r="H1" t="s">
        <v>743</v>
      </c>
      <c r="I1" s="8" t="s">
        <v>719</v>
      </c>
      <c r="J1" s="3" t="s">
        <v>702</v>
      </c>
      <c r="K1" t="s">
        <v>743</v>
      </c>
      <c r="L1" s="8" t="s">
        <v>719</v>
      </c>
      <c r="M1" s="3" t="s">
        <v>706</v>
      </c>
      <c r="N1" t="s">
        <v>743</v>
      </c>
      <c r="O1" s="8" t="s">
        <v>719</v>
      </c>
      <c r="P1" s="3" t="s">
        <v>707</v>
      </c>
      <c r="Q1" t="s">
        <v>743</v>
      </c>
      <c r="R1" s="8" t="s">
        <v>719</v>
      </c>
      <c r="S1" s="3" t="s">
        <v>710</v>
      </c>
      <c r="T1" t="s">
        <v>743</v>
      </c>
      <c r="U1" s="8" t="s">
        <v>719</v>
      </c>
      <c r="V1" s="3" t="s">
        <v>725</v>
      </c>
      <c r="W1" t="s">
        <v>743</v>
      </c>
      <c r="X1" s="8" t="s">
        <v>719</v>
      </c>
      <c r="Y1" s="3" t="s">
        <v>724</v>
      </c>
      <c r="Z1" t="s">
        <v>743</v>
      </c>
      <c r="AA1" s="8" t="s">
        <v>719</v>
      </c>
      <c r="AC1" s="3" t="s">
        <v>714</v>
      </c>
      <c r="AD1" t="s">
        <v>743</v>
      </c>
      <c r="AE1" s="8" t="s">
        <v>719</v>
      </c>
      <c r="AF1" s="15" t="s">
        <v>711</v>
      </c>
      <c r="AG1" t="s">
        <v>743</v>
      </c>
      <c r="AH1" s="8" t="s">
        <v>719</v>
      </c>
      <c r="AI1" s="15" t="s">
        <v>712</v>
      </c>
      <c r="AJ1" t="s">
        <v>743</v>
      </c>
      <c r="AK1" s="8" t="s">
        <v>719</v>
      </c>
      <c r="AL1" s="15" t="s">
        <v>713</v>
      </c>
      <c r="AM1" t="s">
        <v>743</v>
      </c>
      <c r="AN1" s="8" t="s">
        <v>719</v>
      </c>
      <c r="AP1" s="1" t="s">
        <v>721</v>
      </c>
      <c r="AQ1" t="s">
        <v>743</v>
      </c>
      <c r="AR1" s="8" t="s">
        <v>719</v>
      </c>
    </row>
    <row r="2" spans="1:44" ht="12.75">
      <c r="A2" s="86" t="s">
        <v>151</v>
      </c>
      <c r="C2" s="8"/>
      <c r="D2" s="4"/>
      <c r="F2" s="8"/>
      <c r="G2" s="4"/>
      <c r="I2" s="8"/>
      <c r="J2" s="4"/>
      <c r="L2" s="8"/>
      <c r="M2" s="4"/>
      <c r="O2" s="8"/>
      <c r="P2" s="4"/>
      <c r="R2" s="8"/>
      <c r="S2" s="4"/>
      <c r="U2" s="8"/>
      <c r="V2" s="4"/>
      <c r="X2" s="8"/>
      <c r="Y2" s="4"/>
      <c r="AA2" s="8"/>
      <c r="AH2" s="8"/>
      <c r="AI2" s="4"/>
      <c r="AK2" s="8"/>
      <c r="AL2" s="4"/>
      <c r="AN2" s="8"/>
      <c r="AP2" s="24" t="s">
        <v>722</v>
      </c>
      <c r="AR2" s="8"/>
    </row>
    <row r="3" spans="1:44" ht="12.75">
      <c r="A3" s="8">
        <v>0</v>
      </c>
      <c r="B3" s="8">
        <v>145</v>
      </c>
      <c r="C3" s="7">
        <f aca="true" t="shared" si="0" ref="C3:C18">B3*1.688</f>
        <v>244.76</v>
      </c>
      <c r="D3" s="8">
        <v>0</v>
      </c>
      <c r="E3" s="8">
        <v>191</v>
      </c>
      <c r="F3" s="7">
        <f aca="true" t="shared" si="1" ref="F3:F18">E3*1.688</f>
        <v>322.408</v>
      </c>
      <c r="G3" s="8">
        <v>0</v>
      </c>
      <c r="H3" s="7">
        <v>234</v>
      </c>
      <c r="I3" s="7">
        <f>H3*1.688</f>
        <v>394.99199999999996</v>
      </c>
      <c r="J3" s="8">
        <v>0</v>
      </c>
      <c r="K3" s="7">
        <v>272</v>
      </c>
      <c r="L3" s="7">
        <f>K3*1.688</f>
        <v>459.13599999999997</v>
      </c>
      <c r="M3" s="8">
        <v>0</v>
      </c>
      <c r="N3" s="7">
        <v>308</v>
      </c>
      <c r="O3" s="7">
        <f>N3*1.688</f>
        <v>519.904</v>
      </c>
      <c r="P3" s="8">
        <v>0</v>
      </c>
      <c r="Q3" s="7">
        <v>335</v>
      </c>
      <c r="R3" s="7">
        <f aca="true" t="shared" si="2" ref="R3:R13">Q3*1.688</f>
        <v>565.48</v>
      </c>
      <c r="S3" s="8">
        <v>0</v>
      </c>
      <c r="T3" s="7">
        <v>361</v>
      </c>
      <c r="U3" s="7">
        <f aca="true" t="shared" si="3" ref="U3:U11">T3*1.688</f>
        <v>609.3679999999999</v>
      </c>
      <c r="V3" s="8">
        <v>0</v>
      </c>
      <c r="W3" s="7">
        <v>387</v>
      </c>
      <c r="X3" s="7">
        <f aca="true" t="shared" si="4" ref="X3:X9">W3*1.688</f>
        <v>653.256</v>
      </c>
      <c r="Y3" s="8">
        <v>0</v>
      </c>
      <c r="Z3" s="7">
        <v>420</v>
      </c>
      <c r="AA3" s="7">
        <f>Z3*1.688</f>
        <v>708.9599999999999</v>
      </c>
      <c r="AC3" s="8">
        <v>0</v>
      </c>
      <c r="AD3" s="8">
        <f aca="true" t="shared" si="5" ref="AD3:AD9">B3-10</f>
        <v>135</v>
      </c>
      <c r="AE3" s="7">
        <f aca="true" t="shared" si="6" ref="AE3:AE18">AD3*1.688</f>
        <v>227.88</v>
      </c>
      <c r="AF3" s="8">
        <v>0</v>
      </c>
      <c r="AG3" s="7">
        <v>135</v>
      </c>
      <c r="AH3" s="7">
        <f>AG3*1.688</f>
        <v>227.88</v>
      </c>
      <c r="AI3" s="8">
        <v>0</v>
      </c>
      <c r="AJ3" s="7">
        <v>193</v>
      </c>
      <c r="AK3" s="7">
        <f aca="true" t="shared" si="7" ref="AK3:AK16">AJ3*1.688</f>
        <v>325.784</v>
      </c>
      <c r="AL3" s="8">
        <v>0</v>
      </c>
      <c r="AM3" s="7">
        <v>238</v>
      </c>
      <c r="AN3" s="7">
        <f aca="true" t="shared" si="8" ref="AN3:AN13">AM3*1.688</f>
        <v>401.74399999999997</v>
      </c>
      <c r="AP3" s="8">
        <v>0</v>
      </c>
      <c r="AQ3" s="8">
        <v>145</v>
      </c>
      <c r="AR3" s="7">
        <f aca="true" t="shared" si="9" ref="AR3:AR18">AQ3*1.688</f>
        <v>244.76</v>
      </c>
    </row>
    <row r="4" spans="1:44" ht="12.75">
      <c r="A4" s="6">
        <v>5000</v>
      </c>
      <c r="B4" s="38">
        <v>158</v>
      </c>
      <c r="C4" s="7">
        <f t="shared" si="0"/>
        <v>266.704</v>
      </c>
      <c r="D4" s="6">
        <v>5000</v>
      </c>
      <c r="E4" s="33">
        <v>206</v>
      </c>
      <c r="F4" s="7">
        <f t="shared" si="1"/>
        <v>347.728</v>
      </c>
      <c r="G4" s="6">
        <v>5000</v>
      </c>
      <c r="H4" s="38">
        <v>252</v>
      </c>
      <c r="I4" s="7">
        <f aca="true" t="shared" si="10" ref="I4:I18">H4*1.688</f>
        <v>425.376</v>
      </c>
      <c r="J4" s="6">
        <v>5000</v>
      </c>
      <c r="K4" s="33">
        <v>292</v>
      </c>
      <c r="L4" s="7">
        <f>K4*1.688</f>
        <v>492.89599999999996</v>
      </c>
      <c r="M4" s="6">
        <v>5000</v>
      </c>
      <c r="N4" s="33">
        <v>331</v>
      </c>
      <c r="O4" s="7">
        <f>N4*1.688</f>
        <v>558.728</v>
      </c>
      <c r="P4" s="6">
        <v>5000</v>
      </c>
      <c r="Q4" s="38">
        <v>359</v>
      </c>
      <c r="R4" s="7">
        <f t="shared" si="2"/>
        <v>605.992</v>
      </c>
      <c r="S4" s="13">
        <v>5000</v>
      </c>
      <c r="T4" s="38">
        <v>387</v>
      </c>
      <c r="U4" s="7">
        <f t="shared" si="3"/>
        <v>653.256</v>
      </c>
      <c r="V4" s="13">
        <v>5000</v>
      </c>
      <c r="W4" s="38">
        <v>414</v>
      </c>
      <c r="X4" s="7">
        <f t="shared" si="4"/>
        <v>698.832</v>
      </c>
      <c r="Y4" s="13">
        <v>5000</v>
      </c>
      <c r="Z4" s="38">
        <v>440</v>
      </c>
      <c r="AA4" s="7">
        <f>Z4*1.688</f>
        <v>742.72</v>
      </c>
      <c r="AC4" s="6">
        <v>5000</v>
      </c>
      <c r="AD4" s="8">
        <f t="shared" si="5"/>
        <v>148</v>
      </c>
      <c r="AE4" s="7">
        <f t="shared" si="6"/>
        <v>249.82399999999998</v>
      </c>
      <c r="AF4" s="6">
        <v>5000</v>
      </c>
      <c r="AG4" s="51">
        <v>145</v>
      </c>
      <c r="AH4" s="7">
        <f aca="true" t="shared" si="11" ref="AH4:AH18">AG4*1.688</f>
        <v>244.76</v>
      </c>
      <c r="AI4" s="6">
        <v>5000</v>
      </c>
      <c r="AJ4" s="51">
        <v>207</v>
      </c>
      <c r="AK4" s="56">
        <f t="shared" si="7"/>
        <v>349.416</v>
      </c>
      <c r="AL4" s="6">
        <v>5000</v>
      </c>
      <c r="AM4" s="51">
        <v>255</v>
      </c>
      <c r="AN4" s="56">
        <f t="shared" si="8"/>
        <v>430.44</v>
      </c>
      <c r="AP4" s="6">
        <v>5000</v>
      </c>
      <c r="AQ4" s="38">
        <v>158</v>
      </c>
      <c r="AR4" s="7">
        <f t="shared" si="9"/>
        <v>266.704</v>
      </c>
    </row>
    <row r="5" spans="1:44" ht="12.75">
      <c r="A5" s="6">
        <v>10000</v>
      </c>
      <c r="B5" s="38">
        <v>172</v>
      </c>
      <c r="C5" s="7">
        <f t="shared" si="0"/>
        <v>290.336</v>
      </c>
      <c r="D5" s="6">
        <v>10000</v>
      </c>
      <c r="E5" s="54">
        <f>((E6-E4)/2)+E4</f>
        <v>233.5</v>
      </c>
      <c r="F5" s="7">
        <f t="shared" si="1"/>
        <v>394.14799999999997</v>
      </c>
      <c r="G5" s="6">
        <v>10000</v>
      </c>
      <c r="H5" s="54">
        <f>((H6-H4)/2)+H4</f>
        <v>286.5</v>
      </c>
      <c r="I5" s="7">
        <f t="shared" si="10"/>
        <v>483.61199999999997</v>
      </c>
      <c r="J5" s="6">
        <v>10000</v>
      </c>
      <c r="K5" s="55">
        <f>((K6-K4)/2)+K4</f>
        <v>331</v>
      </c>
      <c r="L5" s="7">
        <f aca="true" t="shared" si="12" ref="L5:L16">K5*1.688</f>
        <v>558.728</v>
      </c>
      <c r="M5" s="6">
        <v>10000</v>
      </c>
      <c r="N5" s="55">
        <f>((N6-N4)/2)+N4</f>
        <v>373</v>
      </c>
      <c r="O5" s="7">
        <f aca="true" t="shared" si="13" ref="O5:O16">N5*1.688</f>
        <v>629.624</v>
      </c>
      <c r="P5" s="6">
        <v>10000</v>
      </c>
      <c r="Q5" s="54">
        <f>((Q6-Q4)/2)+Q4</f>
        <v>405.5</v>
      </c>
      <c r="R5" s="7">
        <f t="shared" si="2"/>
        <v>684.4839999999999</v>
      </c>
      <c r="S5" s="6">
        <v>10000</v>
      </c>
      <c r="T5" s="55">
        <f>((T6-T4)/2)+T4</f>
        <v>437</v>
      </c>
      <c r="U5" s="7">
        <f t="shared" si="3"/>
        <v>737.656</v>
      </c>
      <c r="V5" s="6">
        <v>10000</v>
      </c>
      <c r="W5" s="55">
        <f>((W6-W4)/2)+W4</f>
        <v>464</v>
      </c>
      <c r="X5" s="7">
        <f t="shared" si="4"/>
        <v>783.232</v>
      </c>
      <c r="Y5" s="8">
        <v>0</v>
      </c>
      <c r="Z5" s="53">
        <v>460</v>
      </c>
      <c r="AA5" s="7">
        <f>Z5*1.688</f>
        <v>776.48</v>
      </c>
      <c r="AC5" s="6">
        <v>10000</v>
      </c>
      <c r="AD5" s="8">
        <f t="shared" si="5"/>
        <v>162</v>
      </c>
      <c r="AE5" s="7">
        <f t="shared" si="6"/>
        <v>273.456</v>
      </c>
      <c r="AF5" s="6">
        <v>10000</v>
      </c>
      <c r="AG5" s="54">
        <f>((AG6-AG4)/2)+AG4</f>
        <v>165.5</v>
      </c>
      <c r="AH5" s="7">
        <f t="shared" si="11"/>
        <v>279.364</v>
      </c>
      <c r="AI5" s="6">
        <v>10000</v>
      </c>
      <c r="AJ5" s="55">
        <f>((AJ6-AJ4)/2)+AJ4</f>
        <v>235</v>
      </c>
      <c r="AK5" s="56">
        <f t="shared" si="7"/>
        <v>396.68</v>
      </c>
      <c r="AL5" s="6">
        <v>10000</v>
      </c>
      <c r="AM5" s="54">
        <f>((AM6-AM4)/2)+AM4</f>
        <v>287.5</v>
      </c>
      <c r="AN5" s="56">
        <f t="shared" si="8"/>
        <v>485.3</v>
      </c>
      <c r="AP5" s="6">
        <v>10000</v>
      </c>
      <c r="AQ5" s="38">
        <v>172</v>
      </c>
      <c r="AR5" s="7">
        <f t="shared" si="9"/>
        <v>290.336</v>
      </c>
    </row>
    <row r="6" spans="1:44" ht="12.75">
      <c r="A6" s="6">
        <v>20000</v>
      </c>
      <c r="B6" s="38">
        <v>202</v>
      </c>
      <c r="C6" s="7">
        <f t="shared" si="0"/>
        <v>340.976</v>
      </c>
      <c r="D6" s="6">
        <v>20000</v>
      </c>
      <c r="E6" s="38">
        <v>261</v>
      </c>
      <c r="F6" s="7">
        <f t="shared" si="1"/>
        <v>440.568</v>
      </c>
      <c r="G6" s="6">
        <v>20000</v>
      </c>
      <c r="H6" s="38">
        <v>321</v>
      </c>
      <c r="I6" s="7">
        <f t="shared" si="10"/>
        <v>541.848</v>
      </c>
      <c r="J6" s="6">
        <v>20000</v>
      </c>
      <c r="K6" s="51">
        <v>370</v>
      </c>
      <c r="L6" s="7">
        <f t="shared" si="12"/>
        <v>624.56</v>
      </c>
      <c r="M6" s="6">
        <v>20000</v>
      </c>
      <c r="N6" s="51">
        <v>415</v>
      </c>
      <c r="O6" s="7">
        <f t="shared" si="13"/>
        <v>700.52</v>
      </c>
      <c r="P6" s="6">
        <v>20000</v>
      </c>
      <c r="Q6" s="51">
        <v>452</v>
      </c>
      <c r="R6" s="7">
        <f t="shared" si="2"/>
        <v>762.976</v>
      </c>
      <c r="S6" s="6">
        <v>20000</v>
      </c>
      <c r="T6" s="51">
        <v>487</v>
      </c>
      <c r="U6" s="7">
        <f t="shared" si="3"/>
        <v>822.0559999999999</v>
      </c>
      <c r="V6" s="6">
        <v>20000</v>
      </c>
      <c r="W6" s="51">
        <v>514</v>
      </c>
      <c r="X6" s="7">
        <f t="shared" si="4"/>
        <v>867.632</v>
      </c>
      <c r="Y6" s="13"/>
      <c r="AA6" s="7"/>
      <c r="AC6" s="6">
        <v>20000</v>
      </c>
      <c r="AD6" s="8">
        <f t="shared" si="5"/>
        <v>192</v>
      </c>
      <c r="AE6" s="7">
        <f t="shared" si="6"/>
        <v>324.096</v>
      </c>
      <c r="AF6" s="6">
        <v>20000</v>
      </c>
      <c r="AG6" s="51">
        <v>186</v>
      </c>
      <c r="AH6" s="7">
        <f t="shared" si="11"/>
        <v>313.968</v>
      </c>
      <c r="AI6" s="6">
        <v>20000</v>
      </c>
      <c r="AJ6" s="51">
        <v>263</v>
      </c>
      <c r="AK6" s="56">
        <f t="shared" si="7"/>
        <v>443.94399999999996</v>
      </c>
      <c r="AL6" s="6">
        <v>20000</v>
      </c>
      <c r="AM6" s="51">
        <v>320</v>
      </c>
      <c r="AN6" s="56">
        <f t="shared" si="8"/>
        <v>540.16</v>
      </c>
      <c r="AP6" s="6">
        <v>20000</v>
      </c>
      <c r="AQ6" s="38">
        <v>202</v>
      </c>
      <c r="AR6" s="7">
        <f t="shared" si="9"/>
        <v>340.976</v>
      </c>
    </row>
    <row r="7" spans="1:44" ht="12.75">
      <c r="A7" s="6">
        <v>30000</v>
      </c>
      <c r="B7" s="38">
        <v>235</v>
      </c>
      <c r="C7" s="7">
        <f t="shared" si="0"/>
        <v>396.68</v>
      </c>
      <c r="D7" s="6">
        <v>30000</v>
      </c>
      <c r="E7" s="38">
        <v>309</v>
      </c>
      <c r="F7" s="7">
        <f t="shared" si="1"/>
        <v>521.592</v>
      </c>
      <c r="G7" s="6">
        <v>30000</v>
      </c>
      <c r="H7" s="38">
        <v>376</v>
      </c>
      <c r="I7" s="7">
        <f t="shared" si="10"/>
        <v>634.688</v>
      </c>
      <c r="J7" s="6">
        <v>30000</v>
      </c>
      <c r="K7" s="51">
        <v>433</v>
      </c>
      <c r="L7" s="7">
        <f>K7*1.688</f>
        <v>730.904</v>
      </c>
      <c r="M7" s="6">
        <v>30000</v>
      </c>
      <c r="N7" s="51">
        <v>484</v>
      </c>
      <c r="O7" s="7">
        <f t="shared" si="13"/>
        <v>816.992</v>
      </c>
      <c r="P7" s="6">
        <v>30000</v>
      </c>
      <c r="Q7" s="38">
        <v>532</v>
      </c>
      <c r="R7" s="7">
        <f t="shared" si="2"/>
        <v>898.016</v>
      </c>
      <c r="S7" s="6">
        <v>30000</v>
      </c>
      <c r="T7" s="51">
        <v>576</v>
      </c>
      <c r="U7" s="7">
        <f t="shared" si="3"/>
        <v>972.288</v>
      </c>
      <c r="V7" s="13">
        <v>10000</v>
      </c>
      <c r="W7" s="38">
        <v>514</v>
      </c>
      <c r="X7" s="7">
        <f t="shared" si="4"/>
        <v>867.632</v>
      </c>
      <c r="AC7" s="6">
        <v>30000</v>
      </c>
      <c r="AD7" s="8">
        <f t="shared" si="5"/>
        <v>225</v>
      </c>
      <c r="AE7" s="7">
        <f t="shared" si="6"/>
        <v>379.8</v>
      </c>
      <c r="AF7" s="6">
        <v>30000</v>
      </c>
      <c r="AG7" s="51">
        <v>222</v>
      </c>
      <c r="AH7" s="7">
        <f t="shared" si="11"/>
        <v>374.736</v>
      </c>
      <c r="AI7" s="6">
        <v>30000</v>
      </c>
      <c r="AJ7" s="51">
        <v>309</v>
      </c>
      <c r="AK7" s="56">
        <f t="shared" si="7"/>
        <v>521.592</v>
      </c>
      <c r="AL7" s="6">
        <v>30000</v>
      </c>
      <c r="AM7" s="51">
        <v>374</v>
      </c>
      <c r="AN7" s="56">
        <f t="shared" si="8"/>
        <v>631.312</v>
      </c>
      <c r="AP7" s="6">
        <v>30000</v>
      </c>
      <c r="AQ7" s="38">
        <v>235</v>
      </c>
      <c r="AR7" s="7">
        <f t="shared" si="9"/>
        <v>396.68</v>
      </c>
    </row>
    <row r="8" spans="1:44" ht="12.75">
      <c r="A8" s="6">
        <v>40000</v>
      </c>
      <c r="B8" s="38">
        <v>294</v>
      </c>
      <c r="C8" s="7">
        <f t="shared" si="0"/>
        <v>496.272</v>
      </c>
      <c r="D8" s="6">
        <v>40000</v>
      </c>
      <c r="E8" s="38">
        <v>371</v>
      </c>
      <c r="F8" s="7">
        <f t="shared" si="1"/>
        <v>626.2479999999999</v>
      </c>
      <c r="G8" s="6">
        <v>40000</v>
      </c>
      <c r="H8" s="38">
        <v>458</v>
      </c>
      <c r="I8" s="7">
        <f t="shared" si="10"/>
        <v>773.1039999999999</v>
      </c>
      <c r="J8" s="6">
        <v>40000</v>
      </c>
      <c r="K8" s="51">
        <v>531</v>
      </c>
      <c r="L8" s="7">
        <f>K8*1.688</f>
        <v>896.328</v>
      </c>
      <c r="M8" s="6">
        <v>40000</v>
      </c>
      <c r="N8" s="51">
        <v>595</v>
      </c>
      <c r="O8" s="7">
        <f t="shared" si="13"/>
        <v>1004.36</v>
      </c>
      <c r="P8" s="13">
        <v>37000</v>
      </c>
      <c r="Q8" s="54">
        <f>((Q9-Q7)/2)+Q7</f>
        <v>752.5</v>
      </c>
      <c r="R8" s="7">
        <f t="shared" si="2"/>
        <v>1270.22</v>
      </c>
      <c r="S8" s="13">
        <v>20000</v>
      </c>
      <c r="T8" s="38">
        <v>597</v>
      </c>
      <c r="U8" s="7">
        <f t="shared" si="3"/>
        <v>1007.736</v>
      </c>
      <c r="V8" s="13">
        <v>5000</v>
      </c>
      <c r="W8" s="38">
        <v>514</v>
      </c>
      <c r="X8" s="7">
        <f t="shared" si="4"/>
        <v>867.632</v>
      </c>
      <c r="Y8" s="6"/>
      <c r="Z8" s="2"/>
      <c r="AA8" s="7"/>
      <c r="AC8" s="6">
        <v>40000</v>
      </c>
      <c r="AD8" s="8">
        <f t="shared" si="5"/>
        <v>284</v>
      </c>
      <c r="AE8" s="7">
        <f t="shared" si="6"/>
        <v>479.392</v>
      </c>
      <c r="AF8" s="6">
        <v>40000</v>
      </c>
      <c r="AG8" s="51">
        <v>268</v>
      </c>
      <c r="AH8" s="7">
        <f t="shared" si="11"/>
        <v>452.38399999999996</v>
      </c>
      <c r="AI8" s="6">
        <v>40000</v>
      </c>
      <c r="AJ8" s="51">
        <v>373</v>
      </c>
      <c r="AK8" s="56">
        <f t="shared" si="7"/>
        <v>629.624</v>
      </c>
      <c r="AL8" s="6">
        <v>34000</v>
      </c>
      <c r="AM8" s="54">
        <f>((AM9-AM7)/2)+AM7</f>
        <v>673.5</v>
      </c>
      <c r="AN8" s="7">
        <f t="shared" si="8"/>
        <v>1136.868</v>
      </c>
      <c r="AP8" s="6">
        <v>40000</v>
      </c>
      <c r="AQ8" s="38">
        <v>294</v>
      </c>
      <c r="AR8" s="7">
        <f t="shared" si="9"/>
        <v>496.272</v>
      </c>
    </row>
    <row r="9" spans="1:44" ht="12.75">
      <c r="A9" s="6">
        <v>50000</v>
      </c>
      <c r="B9" s="33">
        <v>367</v>
      </c>
      <c r="C9" s="7">
        <f t="shared" si="0"/>
        <v>619.496</v>
      </c>
      <c r="D9" s="6">
        <v>50000</v>
      </c>
      <c r="E9" s="2">
        <v>465</v>
      </c>
      <c r="F9" s="7">
        <f t="shared" si="1"/>
        <v>784.92</v>
      </c>
      <c r="G9" s="6">
        <v>50000</v>
      </c>
      <c r="H9" s="2">
        <v>557</v>
      </c>
      <c r="I9" s="7">
        <f t="shared" si="10"/>
        <v>940.216</v>
      </c>
      <c r="J9" s="6">
        <v>48000</v>
      </c>
      <c r="K9" s="54">
        <f>((K10-K8)/2)+K8</f>
        <v>809.5</v>
      </c>
      <c r="L9" s="7">
        <f t="shared" si="12"/>
        <v>1366.436</v>
      </c>
      <c r="M9" s="6">
        <v>44000</v>
      </c>
      <c r="N9" s="55">
        <f>((N10-N8)/2)+N8</f>
        <v>825</v>
      </c>
      <c r="O9" s="7">
        <f t="shared" si="13"/>
        <v>1392.6</v>
      </c>
      <c r="P9" s="13">
        <v>30000</v>
      </c>
      <c r="Q9" s="38">
        <v>973</v>
      </c>
      <c r="R9" s="7">
        <f t="shared" si="2"/>
        <v>1642.424</v>
      </c>
      <c r="S9" s="13">
        <v>10000</v>
      </c>
      <c r="T9" s="55">
        <f>((T10-T8)/2)+T8</f>
        <v>611</v>
      </c>
      <c r="U9" s="7">
        <f t="shared" si="3"/>
        <v>1031.368</v>
      </c>
      <c r="V9" s="8">
        <v>0</v>
      </c>
      <c r="W9" s="83">
        <v>482</v>
      </c>
      <c r="X9" s="7">
        <f t="shared" si="4"/>
        <v>813.616</v>
      </c>
      <c r="Y9" s="13"/>
      <c r="Z9" s="38"/>
      <c r="AA9" s="7"/>
      <c r="AC9" s="6">
        <v>50000</v>
      </c>
      <c r="AD9" s="8">
        <f t="shared" si="5"/>
        <v>357</v>
      </c>
      <c r="AE9" s="7">
        <f t="shared" si="6"/>
        <v>602.616</v>
      </c>
      <c r="AF9" s="6">
        <v>50000</v>
      </c>
      <c r="AG9" s="7">
        <v>334</v>
      </c>
      <c r="AH9" s="7">
        <f t="shared" si="11"/>
        <v>563.792</v>
      </c>
      <c r="AI9" s="6">
        <v>42000</v>
      </c>
      <c r="AJ9" s="54">
        <f>((AJ10-AJ8)/2)+AJ8</f>
        <v>692.5</v>
      </c>
      <c r="AK9" s="7">
        <f t="shared" si="7"/>
        <v>1168.94</v>
      </c>
      <c r="AL9" s="13">
        <v>30000</v>
      </c>
      <c r="AM9" s="38">
        <v>973</v>
      </c>
      <c r="AN9" s="7">
        <f t="shared" si="8"/>
        <v>1642.424</v>
      </c>
      <c r="AP9" s="6">
        <v>50000</v>
      </c>
      <c r="AQ9" s="33">
        <v>367</v>
      </c>
      <c r="AR9" s="7">
        <f t="shared" si="9"/>
        <v>619.496</v>
      </c>
    </row>
    <row r="10" spans="1:44" ht="12.75">
      <c r="A10" s="6">
        <v>55000</v>
      </c>
      <c r="B10" s="55">
        <f>((B11-B9)/2)+B9</f>
        <v>716</v>
      </c>
      <c r="C10" s="7">
        <f t="shared" si="0"/>
        <v>1208.608</v>
      </c>
      <c r="D10" s="6">
        <v>55000</v>
      </c>
      <c r="E10" s="54">
        <f>((E11-E9)/2)+E9</f>
        <v>730</v>
      </c>
      <c r="F10" s="7">
        <f t="shared" si="1"/>
        <v>1232.24</v>
      </c>
      <c r="G10" s="6">
        <v>55000</v>
      </c>
      <c r="H10" s="54">
        <f>((H11-H9)/2)+H9</f>
        <v>776</v>
      </c>
      <c r="I10" s="7">
        <f t="shared" si="10"/>
        <v>1309.888</v>
      </c>
      <c r="J10" s="6">
        <v>40000</v>
      </c>
      <c r="K10" s="38">
        <v>1088</v>
      </c>
      <c r="L10" s="7">
        <f t="shared" si="12"/>
        <v>1836.5439999999999</v>
      </c>
      <c r="M10" s="6">
        <v>40000</v>
      </c>
      <c r="N10" s="38">
        <v>1055</v>
      </c>
      <c r="O10" s="7">
        <f t="shared" si="13"/>
        <v>1780.84</v>
      </c>
      <c r="P10" s="13">
        <v>20000</v>
      </c>
      <c r="Q10" s="38">
        <v>921</v>
      </c>
      <c r="R10" s="7">
        <f t="shared" si="2"/>
        <v>1554.648</v>
      </c>
      <c r="S10" s="13">
        <v>5000</v>
      </c>
      <c r="T10" s="38">
        <v>625</v>
      </c>
      <c r="U10" s="7">
        <f t="shared" si="3"/>
        <v>1055</v>
      </c>
      <c r="V10" s="13"/>
      <c r="W10" s="38"/>
      <c r="X10" s="7"/>
      <c r="Y10" s="13"/>
      <c r="Z10" s="38"/>
      <c r="AA10" s="7"/>
      <c r="AC10" s="6">
        <v>56000</v>
      </c>
      <c r="AD10" s="8">
        <f aca="true" t="shared" si="14" ref="AD10:AD18">B10+10</f>
        <v>726</v>
      </c>
      <c r="AE10" s="7">
        <f t="shared" si="6"/>
        <v>1225.488</v>
      </c>
      <c r="AF10" s="6">
        <v>55000</v>
      </c>
      <c r="AG10" s="54">
        <f>((AG11-AG9)/2)+AG9</f>
        <v>665</v>
      </c>
      <c r="AH10" s="7">
        <f t="shared" si="11"/>
        <v>1122.52</v>
      </c>
      <c r="AI10" s="6">
        <v>40000</v>
      </c>
      <c r="AJ10" s="51">
        <v>1012</v>
      </c>
      <c r="AK10" s="56">
        <f t="shared" si="7"/>
        <v>1708.2559999999999</v>
      </c>
      <c r="AL10" s="13">
        <v>20000</v>
      </c>
      <c r="AM10" s="38">
        <v>921</v>
      </c>
      <c r="AN10" s="7">
        <f t="shared" si="8"/>
        <v>1554.648</v>
      </c>
      <c r="AP10" s="6">
        <v>55000</v>
      </c>
      <c r="AQ10" s="55">
        <f>((AQ11-AQ9)/2)+AQ9</f>
        <v>711</v>
      </c>
      <c r="AR10" s="7">
        <f t="shared" si="9"/>
        <v>1200.168</v>
      </c>
    </row>
    <row r="11" spans="1:44" ht="12.75">
      <c r="A11" s="6">
        <v>50000</v>
      </c>
      <c r="B11" s="33">
        <v>1065</v>
      </c>
      <c r="C11" s="7">
        <f t="shared" si="0"/>
        <v>1797.72</v>
      </c>
      <c r="D11" s="6">
        <v>50000</v>
      </c>
      <c r="E11" s="53">
        <v>995</v>
      </c>
      <c r="F11" s="7">
        <f t="shared" si="1"/>
        <v>1679.56</v>
      </c>
      <c r="G11" s="6">
        <v>50000</v>
      </c>
      <c r="H11" s="53">
        <v>995</v>
      </c>
      <c r="I11" s="7">
        <f t="shared" si="10"/>
        <v>1679.56</v>
      </c>
      <c r="J11" s="13">
        <v>36000</v>
      </c>
      <c r="K11" s="53">
        <f>((K10-K12)*0.6)+K12</f>
        <v>1042</v>
      </c>
      <c r="L11" s="7">
        <f t="shared" si="12"/>
        <v>1758.896</v>
      </c>
      <c r="M11" s="13">
        <v>36000</v>
      </c>
      <c r="N11" s="56">
        <f>((N10-N12)*0.6)+N12</f>
        <v>1022.2</v>
      </c>
      <c r="O11" s="7">
        <f t="shared" si="13"/>
        <v>1725.4736</v>
      </c>
      <c r="P11" s="13">
        <v>10000</v>
      </c>
      <c r="Q11" s="38">
        <v>832</v>
      </c>
      <c r="R11" s="7">
        <f t="shared" si="2"/>
        <v>1404.416</v>
      </c>
      <c r="S11" s="8">
        <v>0</v>
      </c>
      <c r="T11" s="53">
        <v>589</v>
      </c>
      <c r="U11" s="7">
        <f t="shared" si="3"/>
        <v>994.232</v>
      </c>
      <c r="Y11" s="13"/>
      <c r="Z11" s="38"/>
      <c r="AA11" s="7"/>
      <c r="AC11" s="6">
        <v>50000</v>
      </c>
      <c r="AD11" s="8">
        <f t="shared" si="14"/>
        <v>1075</v>
      </c>
      <c r="AE11" s="7">
        <f t="shared" si="6"/>
        <v>1814.6</v>
      </c>
      <c r="AF11" s="6">
        <v>50000</v>
      </c>
      <c r="AG11" s="7">
        <v>996</v>
      </c>
      <c r="AH11" s="7">
        <f t="shared" si="11"/>
        <v>1681.248</v>
      </c>
      <c r="AI11" s="6">
        <v>36000</v>
      </c>
      <c r="AJ11" s="54">
        <f>((AJ10-AJ12)/2)+AJ12</f>
        <v>992.5</v>
      </c>
      <c r="AK11" s="7">
        <f t="shared" si="7"/>
        <v>1675.34</v>
      </c>
      <c r="AL11" s="13">
        <v>10000</v>
      </c>
      <c r="AM11" s="38">
        <v>832</v>
      </c>
      <c r="AN11" s="7">
        <f t="shared" si="8"/>
        <v>1404.416</v>
      </c>
      <c r="AP11" s="6">
        <v>50000</v>
      </c>
      <c r="AQ11" s="33">
        <v>1055</v>
      </c>
      <c r="AR11" s="7">
        <f t="shared" si="9"/>
        <v>1780.84</v>
      </c>
    </row>
    <row r="12" spans="1:44" ht="12.75">
      <c r="A12" s="6">
        <v>40000</v>
      </c>
      <c r="B12" s="38">
        <v>1168</v>
      </c>
      <c r="C12" s="7">
        <f t="shared" si="0"/>
        <v>1971.5839999999998</v>
      </c>
      <c r="D12" s="6">
        <v>40000</v>
      </c>
      <c r="E12" s="38">
        <v>1093</v>
      </c>
      <c r="F12" s="7">
        <f t="shared" si="1"/>
        <v>1844.984</v>
      </c>
      <c r="G12" s="6">
        <v>40000</v>
      </c>
      <c r="H12" s="38">
        <v>1093</v>
      </c>
      <c r="I12" s="7">
        <f t="shared" si="10"/>
        <v>1844.984</v>
      </c>
      <c r="J12" s="13">
        <v>30000</v>
      </c>
      <c r="K12" s="38">
        <v>973</v>
      </c>
      <c r="L12" s="7">
        <f t="shared" si="12"/>
        <v>1642.424</v>
      </c>
      <c r="M12" s="13">
        <v>30000</v>
      </c>
      <c r="N12" s="38">
        <v>973</v>
      </c>
      <c r="O12" s="7">
        <f t="shared" si="13"/>
        <v>1642.424</v>
      </c>
      <c r="P12" s="13">
        <v>5000</v>
      </c>
      <c r="Q12" s="38">
        <v>790</v>
      </c>
      <c r="R12" s="7">
        <f t="shared" si="2"/>
        <v>1333.52</v>
      </c>
      <c r="Y12" s="13"/>
      <c r="Z12" s="38"/>
      <c r="AA12" s="7"/>
      <c r="AC12" s="6">
        <v>40000</v>
      </c>
      <c r="AD12" s="8">
        <f t="shared" si="14"/>
        <v>1178</v>
      </c>
      <c r="AE12" s="7">
        <f t="shared" si="6"/>
        <v>1988.464</v>
      </c>
      <c r="AF12" s="6">
        <v>40000</v>
      </c>
      <c r="AG12" s="38">
        <v>1093</v>
      </c>
      <c r="AH12" s="7">
        <f t="shared" si="11"/>
        <v>1844.984</v>
      </c>
      <c r="AI12" s="13">
        <v>30000</v>
      </c>
      <c r="AJ12" s="38">
        <v>973</v>
      </c>
      <c r="AK12" s="7">
        <f t="shared" si="7"/>
        <v>1642.424</v>
      </c>
      <c r="AL12" s="13">
        <v>5000</v>
      </c>
      <c r="AM12" s="51">
        <v>790</v>
      </c>
      <c r="AN12" s="7">
        <f t="shared" si="8"/>
        <v>1333.52</v>
      </c>
      <c r="AP12" s="6">
        <v>40000</v>
      </c>
      <c r="AQ12" s="38">
        <v>1158</v>
      </c>
      <c r="AR12" s="7">
        <f t="shared" si="9"/>
        <v>1954.704</v>
      </c>
    </row>
    <row r="13" spans="1:44" ht="12.75">
      <c r="A13" s="6">
        <v>36000</v>
      </c>
      <c r="B13" s="33">
        <v>1180</v>
      </c>
      <c r="C13" s="7">
        <f t="shared" si="0"/>
        <v>1991.84</v>
      </c>
      <c r="D13" s="6">
        <v>36000</v>
      </c>
      <c r="E13" s="38">
        <v>1077</v>
      </c>
      <c r="F13" s="7">
        <f t="shared" si="1"/>
        <v>1817.9759999999999</v>
      </c>
      <c r="G13" s="6">
        <v>36000</v>
      </c>
      <c r="H13" s="38">
        <v>1077</v>
      </c>
      <c r="I13" s="7">
        <f t="shared" si="10"/>
        <v>1817.9759999999999</v>
      </c>
      <c r="J13" s="13">
        <v>20000</v>
      </c>
      <c r="K13" s="38">
        <v>921</v>
      </c>
      <c r="L13" s="7">
        <f t="shared" si="12"/>
        <v>1554.648</v>
      </c>
      <c r="M13" s="13">
        <v>20000</v>
      </c>
      <c r="N13" s="38">
        <v>921</v>
      </c>
      <c r="O13" s="7">
        <f t="shared" si="13"/>
        <v>1554.648</v>
      </c>
      <c r="P13" s="8">
        <v>0</v>
      </c>
      <c r="Q13">
        <v>750</v>
      </c>
      <c r="R13" s="7">
        <f t="shared" si="2"/>
        <v>1266</v>
      </c>
      <c r="AC13" s="6">
        <v>36000</v>
      </c>
      <c r="AD13" s="8">
        <f t="shared" si="14"/>
        <v>1190</v>
      </c>
      <c r="AE13" s="7">
        <f t="shared" si="6"/>
        <v>2008.72</v>
      </c>
      <c r="AF13" s="6">
        <v>36000</v>
      </c>
      <c r="AG13" s="51">
        <v>1077</v>
      </c>
      <c r="AH13" s="7">
        <f t="shared" si="11"/>
        <v>1817.9759999999999</v>
      </c>
      <c r="AI13" s="13">
        <v>20000</v>
      </c>
      <c r="AJ13" s="38">
        <v>921</v>
      </c>
      <c r="AK13" s="7">
        <f t="shared" si="7"/>
        <v>1554.648</v>
      </c>
      <c r="AL13" s="8">
        <v>0</v>
      </c>
      <c r="AM13" s="7">
        <v>750</v>
      </c>
      <c r="AN13" s="7">
        <f t="shared" si="8"/>
        <v>1266</v>
      </c>
      <c r="AP13" s="6">
        <v>36000</v>
      </c>
      <c r="AQ13" s="33">
        <v>1170</v>
      </c>
      <c r="AR13" s="7">
        <f t="shared" si="9"/>
        <v>1974.96</v>
      </c>
    </row>
    <row r="14" spans="1:44" ht="12.75">
      <c r="A14" s="13">
        <v>30000</v>
      </c>
      <c r="B14" s="51">
        <v>1117</v>
      </c>
      <c r="C14" s="7">
        <f t="shared" si="0"/>
        <v>1885.4959999999999</v>
      </c>
      <c r="D14" s="13">
        <v>30000</v>
      </c>
      <c r="E14" s="38">
        <v>973</v>
      </c>
      <c r="F14" s="7">
        <f t="shared" si="1"/>
        <v>1642.424</v>
      </c>
      <c r="G14" s="13">
        <v>30000</v>
      </c>
      <c r="H14" s="38">
        <v>973</v>
      </c>
      <c r="I14" s="7">
        <f t="shared" si="10"/>
        <v>1642.424</v>
      </c>
      <c r="J14" s="13">
        <v>10000</v>
      </c>
      <c r="K14" s="38">
        <v>832</v>
      </c>
      <c r="L14" s="7">
        <f t="shared" si="12"/>
        <v>1404.416</v>
      </c>
      <c r="M14" s="13">
        <v>10000</v>
      </c>
      <c r="N14" s="38">
        <v>832</v>
      </c>
      <c r="O14" s="7">
        <f t="shared" si="13"/>
        <v>1404.416</v>
      </c>
      <c r="S14" s="8"/>
      <c r="T14" s="38"/>
      <c r="U14" s="7"/>
      <c r="AC14" s="13">
        <v>30000</v>
      </c>
      <c r="AD14" s="8">
        <f t="shared" si="14"/>
        <v>1127</v>
      </c>
      <c r="AE14" s="7">
        <f t="shared" si="6"/>
        <v>1902.376</v>
      </c>
      <c r="AF14" s="13">
        <v>30000</v>
      </c>
      <c r="AG14" s="38">
        <v>973</v>
      </c>
      <c r="AH14" s="7">
        <f t="shared" si="11"/>
        <v>1642.424</v>
      </c>
      <c r="AI14" s="13">
        <v>10000</v>
      </c>
      <c r="AJ14" s="38">
        <v>832</v>
      </c>
      <c r="AK14" s="7">
        <f t="shared" si="7"/>
        <v>1404.416</v>
      </c>
      <c r="AP14" s="13">
        <v>30000</v>
      </c>
      <c r="AQ14" s="51">
        <v>1107</v>
      </c>
      <c r="AR14" s="7">
        <f t="shared" si="9"/>
        <v>1868.616</v>
      </c>
    </row>
    <row r="15" spans="1:44" ht="12.75">
      <c r="A15" s="13">
        <v>20000</v>
      </c>
      <c r="B15" s="33">
        <v>1005</v>
      </c>
      <c r="C15" s="7">
        <f t="shared" si="0"/>
        <v>1696.44</v>
      </c>
      <c r="D15" s="13">
        <v>20000</v>
      </c>
      <c r="E15" s="38">
        <v>921</v>
      </c>
      <c r="F15" s="7">
        <f t="shared" si="1"/>
        <v>1554.648</v>
      </c>
      <c r="G15" s="13">
        <v>20000</v>
      </c>
      <c r="H15" s="38">
        <v>921</v>
      </c>
      <c r="I15" s="7">
        <f t="shared" si="10"/>
        <v>1554.648</v>
      </c>
      <c r="J15" s="13">
        <v>5000</v>
      </c>
      <c r="K15" s="38">
        <v>790</v>
      </c>
      <c r="L15" s="7">
        <f t="shared" si="12"/>
        <v>1333.52</v>
      </c>
      <c r="M15" s="13">
        <v>5000</v>
      </c>
      <c r="N15" s="38">
        <v>790</v>
      </c>
      <c r="O15" s="7">
        <f t="shared" si="13"/>
        <v>1333.52</v>
      </c>
      <c r="AC15" s="13">
        <v>20000</v>
      </c>
      <c r="AD15" s="8">
        <f t="shared" si="14"/>
        <v>1015</v>
      </c>
      <c r="AE15" s="7">
        <f t="shared" si="6"/>
        <v>1713.32</v>
      </c>
      <c r="AF15" s="13">
        <v>20000</v>
      </c>
      <c r="AG15" s="38">
        <v>921</v>
      </c>
      <c r="AH15" s="7">
        <f t="shared" si="11"/>
        <v>1554.648</v>
      </c>
      <c r="AI15" s="13">
        <v>5000</v>
      </c>
      <c r="AJ15" s="51">
        <v>790</v>
      </c>
      <c r="AK15" s="7">
        <f t="shared" si="7"/>
        <v>1333.52</v>
      </c>
      <c r="AP15" s="13">
        <v>20000</v>
      </c>
      <c r="AQ15" s="33">
        <v>995</v>
      </c>
      <c r="AR15" s="7">
        <f t="shared" si="9"/>
        <v>1679.56</v>
      </c>
    </row>
    <row r="16" spans="1:44" ht="12.75">
      <c r="A16" s="13">
        <v>10000</v>
      </c>
      <c r="B16" s="38">
        <v>878</v>
      </c>
      <c r="C16" s="7">
        <f t="shared" si="0"/>
        <v>1482.0639999999999</v>
      </c>
      <c r="D16" s="13">
        <v>10000</v>
      </c>
      <c r="E16" s="38">
        <v>832</v>
      </c>
      <c r="F16" s="7">
        <f t="shared" si="1"/>
        <v>1404.416</v>
      </c>
      <c r="G16" s="13">
        <v>10000</v>
      </c>
      <c r="H16" s="38">
        <v>832</v>
      </c>
      <c r="I16" s="7">
        <f t="shared" si="10"/>
        <v>1404.416</v>
      </c>
      <c r="J16" s="8">
        <v>0</v>
      </c>
      <c r="K16">
        <v>750</v>
      </c>
      <c r="L16" s="7">
        <f t="shared" si="12"/>
        <v>1266</v>
      </c>
      <c r="M16" s="8">
        <v>0</v>
      </c>
      <c r="N16">
        <v>750</v>
      </c>
      <c r="O16" s="7">
        <f t="shared" si="13"/>
        <v>1266</v>
      </c>
      <c r="AC16" s="13">
        <v>10000</v>
      </c>
      <c r="AD16" s="8">
        <f t="shared" si="14"/>
        <v>888</v>
      </c>
      <c r="AE16" s="7">
        <f t="shared" si="6"/>
        <v>1498.944</v>
      </c>
      <c r="AF16" s="13">
        <v>10000</v>
      </c>
      <c r="AG16" s="38">
        <v>832</v>
      </c>
      <c r="AH16" s="7">
        <f t="shared" si="11"/>
        <v>1404.416</v>
      </c>
      <c r="AI16" s="8">
        <v>0</v>
      </c>
      <c r="AJ16" s="7">
        <v>750</v>
      </c>
      <c r="AK16" s="7">
        <f t="shared" si="7"/>
        <v>1266</v>
      </c>
      <c r="AP16" s="13">
        <v>10000</v>
      </c>
      <c r="AQ16" s="38">
        <v>868</v>
      </c>
      <c r="AR16" s="7">
        <f t="shared" si="9"/>
        <v>1465.184</v>
      </c>
    </row>
    <row r="17" spans="1:44" ht="12.75">
      <c r="A17" s="13">
        <v>5000</v>
      </c>
      <c r="B17" s="38">
        <v>800</v>
      </c>
      <c r="C17" s="7">
        <f t="shared" si="0"/>
        <v>1350.3999999999999</v>
      </c>
      <c r="D17" s="13">
        <v>5000</v>
      </c>
      <c r="E17" s="38">
        <v>790</v>
      </c>
      <c r="F17" s="7">
        <f t="shared" si="1"/>
        <v>1333.52</v>
      </c>
      <c r="G17" s="13">
        <v>5000</v>
      </c>
      <c r="H17" s="38">
        <v>790</v>
      </c>
      <c r="I17" s="7">
        <f t="shared" si="10"/>
        <v>1333.52</v>
      </c>
      <c r="S17" s="26"/>
      <c r="AC17" s="13">
        <v>5000</v>
      </c>
      <c r="AD17" s="8">
        <f t="shared" si="14"/>
        <v>810</v>
      </c>
      <c r="AE17" s="7">
        <f t="shared" si="6"/>
        <v>1367.28</v>
      </c>
      <c r="AF17" s="13">
        <v>5000</v>
      </c>
      <c r="AG17" s="51">
        <v>790</v>
      </c>
      <c r="AH17" s="7">
        <f t="shared" si="11"/>
        <v>1333.52</v>
      </c>
      <c r="AP17" s="13">
        <v>5000</v>
      </c>
      <c r="AQ17" s="38">
        <v>790</v>
      </c>
      <c r="AR17" s="7">
        <f t="shared" si="9"/>
        <v>1333.52</v>
      </c>
    </row>
    <row r="18" spans="1:44" ht="12.75">
      <c r="A18" s="8">
        <v>0</v>
      </c>
      <c r="B18" s="53">
        <v>760</v>
      </c>
      <c r="C18" s="7">
        <f t="shared" si="0"/>
        <v>1282.8799999999999</v>
      </c>
      <c r="D18" s="8">
        <v>0</v>
      </c>
      <c r="E18">
        <v>750</v>
      </c>
      <c r="F18" s="7">
        <f t="shared" si="1"/>
        <v>1266</v>
      </c>
      <c r="G18" s="8">
        <v>0</v>
      </c>
      <c r="H18">
        <v>750</v>
      </c>
      <c r="I18" s="7">
        <f t="shared" si="10"/>
        <v>1266</v>
      </c>
      <c r="AC18" s="8">
        <v>0</v>
      </c>
      <c r="AD18" s="8">
        <f t="shared" si="14"/>
        <v>770</v>
      </c>
      <c r="AE18" s="7">
        <f t="shared" si="6"/>
        <v>1299.76</v>
      </c>
      <c r="AF18" s="8">
        <v>0</v>
      </c>
      <c r="AG18" s="7">
        <v>750</v>
      </c>
      <c r="AH18" s="7">
        <f t="shared" si="11"/>
        <v>1266</v>
      </c>
      <c r="AP18" s="8">
        <v>0</v>
      </c>
      <c r="AQ18" s="53">
        <v>750</v>
      </c>
      <c r="AR18" s="7">
        <f t="shared" si="9"/>
        <v>1266</v>
      </c>
    </row>
    <row r="20" spans="1:32" ht="12.75">
      <c r="A20" t="s">
        <v>742</v>
      </c>
      <c r="K20" s="25" t="s">
        <v>344</v>
      </c>
      <c r="AD20" s="25"/>
      <c r="AE20" s="25"/>
      <c r="AF20" s="25"/>
    </row>
    <row r="21" spans="1:32" ht="12.75">
      <c r="A21" t="s">
        <v>192</v>
      </c>
      <c r="K21" s="14"/>
      <c r="N21" s="28"/>
      <c r="P21" s="14"/>
      <c r="AD21" s="25"/>
      <c r="AE21" s="25"/>
      <c r="AF21" s="25"/>
    </row>
    <row r="22" spans="23:26" ht="12.75">
      <c r="W22" s="25"/>
      <c r="X22" s="25"/>
      <c r="Y22" s="25"/>
      <c r="Z22" s="25"/>
    </row>
    <row r="23" spans="23:29" ht="12.75">
      <c r="W23" s="25"/>
      <c r="X23" s="25"/>
      <c r="Y23" s="25"/>
      <c r="Z23" s="25"/>
      <c r="AC23" s="25" t="s">
        <v>723</v>
      </c>
    </row>
    <row r="24" spans="1:29" ht="12.75">
      <c r="A24" s="33" t="s">
        <v>781</v>
      </c>
      <c r="W24" s="25"/>
      <c r="X24" s="25"/>
      <c r="Y24" s="25"/>
      <c r="Z24" s="25"/>
      <c r="AC24" s="25" t="s">
        <v>730</v>
      </c>
    </row>
    <row r="25" spans="11:26" ht="12.75">
      <c r="K25" t="s">
        <v>938</v>
      </c>
      <c r="W25" s="25"/>
      <c r="X25" s="25"/>
      <c r="Y25" s="25"/>
      <c r="Z25" s="25"/>
    </row>
    <row r="26" spans="1:33" ht="12.75">
      <c r="A26" t="s">
        <v>715</v>
      </c>
      <c r="K26" t="s">
        <v>939</v>
      </c>
      <c r="W26" s="25"/>
      <c r="X26" s="25"/>
      <c r="Y26" s="25"/>
      <c r="Z26" s="25"/>
      <c r="AA26" s="14"/>
      <c r="AB26" s="14"/>
      <c r="AC26" s="14"/>
      <c r="AD26" s="14"/>
      <c r="AE26" s="66"/>
      <c r="AF26" s="14"/>
      <c r="AG26" s="14"/>
    </row>
    <row r="29" spans="9:26" ht="12.75">
      <c r="I29" s="1" t="s">
        <v>699</v>
      </c>
      <c r="K29" s="11" t="s">
        <v>148</v>
      </c>
      <c r="L29" s="11" t="s">
        <v>149</v>
      </c>
      <c r="M29" s="11" t="s">
        <v>147</v>
      </c>
      <c r="N29" s="11" t="s">
        <v>150</v>
      </c>
      <c r="O29" s="11" t="s">
        <v>151</v>
      </c>
      <c r="P29" s="11" t="s">
        <v>286</v>
      </c>
      <c r="Q29" s="11" t="s">
        <v>287</v>
      </c>
      <c r="W29" s="22"/>
      <c r="X29" s="8"/>
      <c r="Z29" s="8"/>
    </row>
    <row r="30" spans="11:26" ht="12.75">
      <c r="K30" s="91" t="s">
        <v>292</v>
      </c>
      <c r="L30" s="23" t="s">
        <v>274</v>
      </c>
      <c r="M30" s="23" t="s">
        <v>274</v>
      </c>
      <c r="N30" s="23" t="s">
        <v>274</v>
      </c>
      <c r="O30" s="23" t="s">
        <v>275</v>
      </c>
      <c r="P30" s="25"/>
      <c r="Q30" s="23" t="s">
        <v>300</v>
      </c>
      <c r="W30" s="8"/>
      <c r="X30" s="22"/>
      <c r="Z30" s="6"/>
    </row>
    <row r="31" spans="11:26" ht="12.75">
      <c r="K31" s="27" t="s">
        <v>295</v>
      </c>
      <c r="L31" s="27"/>
      <c r="M31" s="69"/>
      <c r="N31" s="27"/>
      <c r="O31" s="27" t="s">
        <v>174</v>
      </c>
      <c r="P31" s="27" t="s">
        <v>310</v>
      </c>
      <c r="Q31" s="27"/>
      <c r="R31" s="34" t="s">
        <v>805</v>
      </c>
      <c r="S31" s="8"/>
      <c r="W31" s="7"/>
      <c r="X31" s="8"/>
      <c r="Z31" s="6"/>
    </row>
    <row r="32" spans="11:26" ht="12.75">
      <c r="K32" s="27" t="s">
        <v>296</v>
      </c>
      <c r="L32" s="27" t="s">
        <v>271</v>
      </c>
      <c r="M32" s="27" t="s">
        <v>272</v>
      </c>
      <c r="N32" s="27" t="s">
        <v>273</v>
      </c>
      <c r="O32" s="27" t="s">
        <v>172</v>
      </c>
      <c r="P32" s="27" t="s">
        <v>319</v>
      </c>
      <c r="Q32" s="27"/>
      <c r="R32" s="90" t="s">
        <v>285</v>
      </c>
      <c r="S32" s="8" t="s">
        <v>173</v>
      </c>
      <c r="V32" s="8"/>
      <c r="W32" s="7"/>
      <c r="X32" s="7"/>
      <c r="Z32" s="6"/>
    </row>
    <row r="33" spans="11:26" ht="12.75">
      <c r="K33" s="27" t="s">
        <v>289</v>
      </c>
      <c r="L33" s="27" t="s">
        <v>183</v>
      </c>
      <c r="M33" s="27" t="s">
        <v>183</v>
      </c>
      <c r="N33" s="27" t="s">
        <v>183</v>
      </c>
      <c r="O33" s="27" t="s">
        <v>183</v>
      </c>
      <c r="P33" s="27" t="s">
        <v>308</v>
      </c>
      <c r="Q33" s="27" t="s">
        <v>303</v>
      </c>
      <c r="R33" s="34" t="s">
        <v>787</v>
      </c>
      <c r="U33" s="8"/>
      <c r="V33" s="22"/>
      <c r="W33" s="7"/>
      <c r="X33" s="8"/>
      <c r="Z33" s="6"/>
    </row>
    <row r="34" spans="11:26" ht="12.75">
      <c r="K34" s="92" t="s">
        <v>298</v>
      </c>
      <c r="L34" s="77" t="s">
        <v>279</v>
      </c>
      <c r="M34" s="77" t="s">
        <v>279</v>
      </c>
      <c r="N34" s="77" t="s">
        <v>278</v>
      </c>
      <c r="O34" s="77" t="s">
        <v>182</v>
      </c>
      <c r="P34" s="23" t="s">
        <v>318</v>
      </c>
      <c r="Q34" s="40" t="s">
        <v>302</v>
      </c>
      <c r="R34" s="80"/>
      <c r="W34" s="7"/>
      <c r="X34" s="8"/>
      <c r="Z34" s="6"/>
    </row>
    <row r="35" spans="11:26" ht="12.75">
      <c r="K35" s="27"/>
      <c r="L35" s="27"/>
      <c r="M35" s="69"/>
      <c r="N35" s="27"/>
      <c r="O35" s="27"/>
      <c r="S35" s="8"/>
      <c r="W35" s="7"/>
      <c r="X35" s="8"/>
      <c r="Z35" s="6"/>
    </row>
    <row r="36" spans="11:26" ht="12.75">
      <c r="K36" s="60">
        <v>1986</v>
      </c>
      <c r="L36" s="60">
        <v>1889</v>
      </c>
      <c r="M36" s="60">
        <v>1889</v>
      </c>
      <c r="N36" s="60">
        <v>1855</v>
      </c>
      <c r="O36" s="60">
        <v>1855</v>
      </c>
      <c r="P36" s="60">
        <v>1998</v>
      </c>
      <c r="Q36" s="60">
        <v>1897</v>
      </c>
      <c r="R36" t="s">
        <v>792</v>
      </c>
      <c r="S36" s="8"/>
      <c r="T36" s="8"/>
      <c r="U36" s="22"/>
      <c r="W36" s="7"/>
      <c r="X36" s="8"/>
      <c r="Z36" s="6"/>
    </row>
    <row r="37" spans="11:31" ht="12.75">
      <c r="K37" s="72">
        <f aca="true" t="shared" si="15" ref="K37:Q37">K36*6.5</f>
        <v>12909</v>
      </c>
      <c r="L37" s="72">
        <f t="shared" si="15"/>
        <v>12278.5</v>
      </c>
      <c r="M37" s="72">
        <f t="shared" si="15"/>
        <v>12278.5</v>
      </c>
      <c r="N37" s="72">
        <f t="shared" si="15"/>
        <v>12057.5</v>
      </c>
      <c r="O37" s="72">
        <f t="shared" si="15"/>
        <v>12057.5</v>
      </c>
      <c r="P37" s="72">
        <f t="shared" si="15"/>
        <v>12987</v>
      </c>
      <c r="Q37" s="72">
        <f t="shared" si="15"/>
        <v>12330.5</v>
      </c>
      <c r="R37" t="s">
        <v>542</v>
      </c>
      <c r="S37" s="8"/>
      <c r="T37" s="24" t="s">
        <v>753</v>
      </c>
      <c r="U37" s="8"/>
      <c r="W37" s="7"/>
      <c r="X37" s="8"/>
      <c r="AE37" s="57"/>
    </row>
    <row r="38" spans="11:24" ht="12.75">
      <c r="K38" s="72">
        <f aca="true" t="shared" si="16" ref="K38:Q38">K36*6.8</f>
        <v>13504.8</v>
      </c>
      <c r="L38" s="72">
        <f t="shared" si="16"/>
        <v>12845.199999999999</v>
      </c>
      <c r="M38" s="72">
        <f t="shared" si="16"/>
        <v>12845.199999999999</v>
      </c>
      <c r="N38" s="72">
        <f t="shared" si="16"/>
        <v>12614</v>
      </c>
      <c r="O38" s="72">
        <f t="shared" si="16"/>
        <v>12614</v>
      </c>
      <c r="P38" s="72">
        <f t="shared" si="16"/>
        <v>13586.4</v>
      </c>
      <c r="Q38" s="72">
        <f t="shared" si="16"/>
        <v>12899.6</v>
      </c>
      <c r="R38" t="s">
        <v>791</v>
      </c>
      <c r="T38" s="24" t="s">
        <v>754</v>
      </c>
      <c r="U38" s="7"/>
      <c r="W38" s="7"/>
      <c r="X38" s="8"/>
    </row>
    <row r="39" spans="11:24" ht="12.75">
      <c r="K39" s="92" t="s">
        <v>291</v>
      </c>
      <c r="L39" s="40" t="s">
        <v>850</v>
      </c>
      <c r="M39" s="40" t="s">
        <v>850</v>
      </c>
      <c r="N39" s="40" t="s">
        <v>850</v>
      </c>
      <c r="O39" s="40" t="s">
        <v>811</v>
      </c>
      <c r="P39" s="40" t="s">
        <v>306</v>
      </c>
      <c r="Q39" s="40" t="s">
        <v>301</v>
      </c>
      <c r="R39" s="24"/>
      <c r="T39" s="8"/>
      <c r="U39" s="7"/>
      <c r="W39" s="7"/>
      <c r="X39" s="8"/>
    </row>
    <row r="40" spans="11:24" ht="12.75">
      <c r="K40" s="27"/>
      <c r="L40" s="27"/>
      <c r="M40" s="27"/>
      <c r="N40" s="27"/>
      <c r="O40" s="27"/>
      <c r="T40" s="8"/>
      <c r="U40" s="7"/>
      <c r="W40" s="7"/>
      <c r="X40" s="8"/>
    </row>
    <row r="41" spans="11:24" ht="12.75">
      <c r="K41" s="27"/>
      <c r="L41" s="27"/>
      <c r="M41" s="27"/>
      <c r="N41" s="27"/>
      <c r="R41" t="s">
        <v>281</v>
      </c>
      <c r="T41" s="8"/>
      <c r="U41" s="22"/>
      <c r="W41" s="7"/>
      <c r="X41" s="8"/>
    </row>
    <row r="42" spans="11:24" ht="12.75">
      <c r="K42" s="27"/>
      <c r="L42" s="27"/>
      <c r="M42" s="27"/>
      <c r="N42" s="27" t="s">
        <v>282</v>
      </c>
      <c r="O42" s="27" t="s">
        <v>186</v>
      </c>
      <c r="R42" t="s">
        <v>187</v>
      </c>
      <c r="T42" s="8"/>
      <c r="U42" s="7"/>
      <c r="W42" s="7"/>
      <c r="X42" s="8"/>
    </row>
    <row r="43" spans="11:24" ht="12.75">
      <c r="K43" s="40"/>
      <c r="L43" s="40"/>
      <c r="M43" s="40"/>
      <c r="N43" s="40" t="s">
        <v>280</v>
      </c>
      <c r="O43" s="40" t="s">
        <v>188</v>
      </c>
      <c r="P43" s="25"/>
      <c r="Q43" s="25"/>
      <c r="T43" s="8"/>
      <c r="U43" s="7"/>
      <c r="W43" s="7"/>
      <c r="X43" s="8"/>
    </row>
    <row r="44" spans="11:24" ht="12.75">
      <c r="K44" s="27"/>
      <c r="L44" s="27"/>
      <c r="M44" s="27"/>
      <c r="N44" s="27"/>
      <c r="T44" s="8"/>
      <c r="U44" s="7"/>
      <c r="W44" s="7"/>
      <c r="X44" s="8"/>
    </row>
    <row r="45" spans="11:21" ht="12.75">
      <c r="K45" s="27"/>
      <c r="L45" s="27"/>
      <c r="M45" s="27"/>
      <c r="N45" s="27"/>
      <c r="O45" s="27"/>
      <c r="R45" t="s">
        <v>541</v>
      </c>
      <c r="S45" s="8"/>
      <c r="T45" s="8"/>
      <c r="U45" s="22"/>
    </row>
    <row r="46" spans="11:22" ht="12.75">
      <c r="K46" s="27"/>
      <c r="L46" s="40"/>
      <c r="M46" s="40"/>
      <c r="N46" s="40"/>
      <c r="O46" s="40"/>
      <c r="S46" s="8"/>
      <c r="T46" s="8"/>
      <c r="U46" s="7"/>
      <c r="V46" s="8"/>
    </row>
    <row r="47" spans="11:22" ht="12.75">
      <c r="K47" s="27"/>
      <c r="L47" s="27"/>
      <c r="M47" s="27"/>
      <c r="N47" s="27"/>
      <c r="T47" s="8"/>
      <c r="U47" s="7"/>
      <c r="V47" s="8"/>
    </row>
    <row r="48" spans="11:22" ht="12.75">
      <c r="K48" s="27"/>
      <c r="L48" s="39"/>
      <c r="M48" s="39"/>
      <c r="N48" s="39"/>
      <c r="R48" t="s">
        <v>1</v>
      </c>
      <c r="T48" s="8"/>
      <c r="U48" s="8"/>
      <c r="V48" s="8"/>
    </row>
    <row r="49" spans="11:18" ht="12.75">
      <c r="K49" s="39" t="s">
        <v>180</v>
      </c>
      <c r="L49" s="39" t="s">
        <v>180</v>
      </c>
      <c r="M49" s="39" t="s">
        <v>180</v>
      </c>
      <c r="N49" s="39" t="s">
        <v>180</v>
      </c>
      <c r="O49" s="39" t="s">
        <v>180</v>
      </c>
      <c r="P49" s="39" t="s">
        <v>180</v>
      </c>
      <c r="R49" t="s">
        <v>181</v>
      </c>
    </row>
    <row r="50" spans="9:18" ht="12.75">
      <c r="I50" s="1" t="s">
        <v>700</v>
      </c>
      <c r="K50" s="69" t="s">
        <v>179</v>
      </c>
      <c r="L50" s="69" t="s">
        <v>179</v>
      </c>
      <c r="M50" s="69" t="s">
        <v>179</v>
      </c>
      <c r="N50" s="69" t="s">
        <v>179</v>
      </c>
      <c r="O50" s="69" t="s">
        <v>179</v>
      </c>
      <c r="P50" s="69" t="s">
        <v>179</v>
      </c>
      <c r="R50" t="s">
        <v>556</v>
      </c>
    </row>
    <row r="51" spans="11:17" ht="12.75">
      <c r="K51" s="40" t="s">
        <v>294</v>
      </c>
      <c r="L51" s="40" t="s">
        <v>851</v>
      </c>
      <c r="M51" s="40" t="s">
        <v>851</v>
      </c>
      <c r="N51" s="40" t="s">
        <v>851</v>
      </c>
      <c r="O51" s="40" t="s">
        <v>809</v>
      </c>
      <c r="P51" s="40" t="s">
        <v>309</v>
      </c>
      <c r="Q51" s="25"/>
    </row>
    <row r="52" spans="11:14" ht="12.75">
      <c r="K52" s="27"/>
      <c r="L52" s="39"/>
      <c r="M52" s="40"/>
      <c r="N52" s="40"/>
    </row>
    <row r="53" spans="11:14" ht="12.75">
      <c r="K53" s="27"/>
      <c r="L53" s="40"/>
      <c r="M53" s="40"/>
      <c r="N53" s="40"/>
    </row>
    <row r="54" spans="11:18" ht="12.75">
      <c r="K54" s="39" t="s">
        <v>184</v>
      </c>
      <c r="L54" s="39" t="s">
        <v>184</v>
      </c>
      <c r="M54" s="39" t="s">
        <v>184</v>
      </c>
      <c r="N54" s="39" t="s">
        <v>184</v>
      </c>
      <c r="O54" s="39" t="s">
        <v>184</v>
      </c>
      <c r="P54" s="39" t="s">
        <v>184</v>
      </c>
      <c r="Q54" s="39" t="s">
        <v>184</v>
      </c>
      <c r="R54" t="s">
        <v>2</v>
      </c>
    </row>
    <row r="55" spans="11:18" ht="12.75">
      <c r="K55" s="92" t="s">
        <v>290</v>
      </c>
      <c r="L55" s="40" t="s">
        <v>810</v>
      </c>
      <c r="M55" s="40" t="s">
        <v>810</v>
      </c>
      <c r="N55" s="40" t="s">
        <v>810</v>
      </c>
      <c r="O55" s="40" t="s">
        <v>854</v>
      </c>
      <c r="P55" s="40" t="s">
        <v>307</v>
      </c>
      <c r="Q55" s="40" t="s">
        <v>304</v>
      </c>
      <c r="R55" t="s">
        <v>3</v>
      </c>
    </row>
    <row r="56" spans="11:15" ht="12.75">
      <c r="K56" s="27"/>
      <c r="L56" s="27"/>
      <c r="M56" s="27"/>
      <c r="N56" s="27"/>
      <c r="O56" s="27"/>
    </row>
    <row r="57" spans="12:18" ht="12.75">
      <c r="L57" s="27" t="s">
        <v>276</v>
      </c>
      <c r="M57" s="27" t="s">
        <v>276</v>
      </c>
      <c r="N57" s="27" t="s">
        <v>276</v>
      </c>
      <c r="O57" s="27" t="s">
        <v>276</v>
      </c>
      <c r="R57" t="s">
        <v>185</v>
      </c>
    </row>
    <row r="58" spans="11:18" ht="12.75">
      <c r="K58" s="25"/>
      <c r="L58" s="40" t="s">
        <v>854</v>
      </c>
      <c r="M58" s="40" t="s">
        <v>854</v>
      </c>
      <c r="N58" s="40" t="s">
        <v>854</v>
      </c>
      <c r="O58" s="40" t="s">
        <v>540</v>
      </c>
      <c r="P58" s="25"/>
      <c r="Q58" s="25"/>
      <c r="R58" s="35" t="s">
        <v>277</v>
      </c>
    </row>
    <row r="59" spans="13:15" ht="12.75">
      <c r="M59" s="27"/>
      <c r="N59" s="27"/>
      <c r="O59" s="27"/>
    </row>
    <row r="60" spans="11:18" ht="12.75">
      <c r="K60" s="75" t="s">
        <v>178</v>
      </c>
      <c r="L60" s="75" t="s">
        <v>178</v>
      </c>
      <c r="M60" s="75" t="s">
        <v>178</v>
      </c>
      <c r="N60" s="75" t="s">
        <v>178</v>
      </c>
      <c r="O60" s="75" t="s">
        <v>178</v>
      </c>
      <c r="P60" s="75" t="s">
        <v>178</v>
      </c>
      <c r="R60" s="14" t="s">
        <v>852</v>
      </c>
    </row>
    <row r="61" spans="11:17" ht="12.75">
      <c r="K61" s="40" t="s">
        <v>293</v>
      </c>
      <c r="L61" s="40" t="s">
        <v>69</v>
      </c>
      <c r="M61" s="40" t="s">
        <v>69</v>
      </c>
      <c r="N61" s="40" t="s">
        <v>69</v>
      </c>
      <c r="O61" s="40" t="s">
        <v>69</v>
      </c>
      <c r="P61" s="40" t="s">
        <v>307</v>
      </c>
      <c r="Q61" s="25"/>
    </row>
    <row r="63" spans="11:18" ht="12.75">
      <c r="K63" s="27" t="s">
        <v>297</v>
      </c>
      <c r="L63" s="27"/>
      <c r="M63" s="27"/>
      <c r="N63" s="27" t="s">
        <v>284</v>
      </c>
      <c r="O63" s="27" t="s">
        <v>612</v>
      </c>
      <c r="R63" t="s">
        <v>189</v>
      </c>
    </row>
    <row r="64" spans="11:18" ht="12.75">
      <c r="K64" s="40" t="s">
        <v>808</v>
      </c>
      <c r="L64" s="40"/>
      <c r="M64" s="40"/>
      <c r="N64" s="40" t="s">
        <v>283</v>
      </c>
      <c r="O64" s="40" t="s">
        <v>191</v>
      </c>
      <c r="P64" s="25"/>
      <c r="Q64" s="25"/>
      <c r="R64" s="35" t="s">
        <v>190</v>
      </c>
    </row>
    <row r="66" spans="11:19" ht="12.75">
      <c r="K66" s="32" t="s">
        <v>288</v>
      </c>
      <c r="L66" s="32" t="s">
        <v>267</v>
      </c>
      <c r="M66" s="32" t="s">
        <v>267</v>
      </c>
      <c r="N66" s="32" t="s">
        <v>175</v>
      </c>
      <c r="O66" s="32" t="s">
        <v>175</v>
      </c>
      <c r="P66" s="58" t="s">
        <v>305</v>
      </c>
      <c r="Q66" s="65" t="s">
        <v>299</v>
      </c>
      <c r="R66" s="11" t="s">
        <v>786</v>
      </c>
      <c r="S66" t="s">
        <v>866</v>
      </c>
    </row>
    <row r="67" spans="12:15" ht="12.75">
      <c r="L67" s="23"/>
      <c r="M67" s="23"/>
      <c r="N67" s="23"/>
      <c r="O67" s="23"/>
    </row>
    <row r="68" spans="11:19" ht="12.75">
      <c r="K68" s="79">
        <v>21800</v>
      </c>
      <c r="L68" s="79">
        <v>21800</v>
      </c>
      <c r="M68" s="79">
        <v>21800</v>
      </c>
      <c r="N68" s="79">
        <v>23740</v>
      </c>
      <c r="O68" s="79">
        <v>23740</v>
      </c>
      <c r="P68" s="79">
        <v>23740</v>
      </c>
      <c r="Q68" s="79">
        <v>24500</v>
      </c>
      <c r="R68" s="34" t="s">
        <v>867</v>
      </c>
      <c r="S68" s="34" t="s">
        <v>875</v>
      </c>
    </row>
    <row r="69" spans="11:18" ht="12.75">
      <c r="K69" s="39">
        <v>0.86</v>
      </c>
      <c r="L69" s="39">
        <v>0.86</v>
      </c>
      <c r="M69" s="39">
        <v>0.86</v>
      </c>
      <c r="N69" s="39">
        <v>0.843</v>
      </c>
      <c r="O69" s="39">
        <v>0.843</v>
      </c>
      <c r="P69" s="39">
        <v>0.843</v>
      </c>
      <c r="Q69" s="39">
        <v>0.68</v>
      </c>
      <c r="R69" s="27" t="s">
        <v>784</v>
      </c>
    </row>
    <row r="70" spans="11:19" ht="12.75">
      <c r="K70" s="31">
        <f aca="true" t="shared" si="17" ref="K70:Q70">(K68*K69)/3600</f>
        <v>5.207777777777777</v>
      </c>
      <c r="L70" s="31">
        <f t="shared" si="17"/>
        <v>5.207777777777777</v>
      </c>
      <c r="M70" s="31">
        <f t="shared" si="17"/>
        <v>5.207777777777777</v>
      </c>
      <c r="N70" s="31">
        <f t="shared" si="17"/>
        <v>5.559116666666666</v>
      </c>
      <c r="O70" s="31">
        <f t="shared" si="17"/>
        <v>5.559116666666666</v>
      </c>
      <c r="P70" s="31">
        <f t="shared" si="17"/>
        <v>5.559116666666666</v>
      </c>
      <c r="Q70" s="31">
        <f t="shared" si="17"/>
        <v>4.627777777777778</v>
      </c>
      <c r="R70" s="34" t="s">
        <v>868</v>
      </c>
      <c r="S70" s="34" t="s">
        <v>876</v>
      </c>
    </row>
    <row r="71" spans="9:18" ht="12.75">
      <c r="I71" s="1" t="s">
        <v>701</v>
      </c>
      <c r="K71" s="40"/>
      <c r="L71" s="40"/>
      <c r="M71" s="40"/>
      <c r="N71" s="40"/>
      <c r="O71" s="40"/>
      <c r="R71" s="27"/>
    </row>
    <row r="72" spans="11:19" ht="12.75">
      <c r="K72" s="79">
        <v>34000</v>
      </c>
      <c r="L72" s="79">
        <v>34000</v>
      </c>
      <c r="M72" s="79">
        <v>34000</v>
      </c>
      <c r="N72" s="79">
        <v>35800</v>
      </c>
      <c r="O72" s="79">
        <v>35800</v>
      </c>
      <c r="P72" s="79">
        <v>35720</v>
      </c>
      <c r="Q72" s="79">
        <v>41030</v>
      </c>
      <c r="R72" s="34" t="s">
        <v>144</v>
      </c>
      <c r="S72" s="34" t="s">
        <v>875</v>
      </c>
    </row>
    <row r="73" spans="11:18" ht="12.75">
      <c r="K73" s="39">
        <v>1.93</v>
      </c>
      <c r="L73" s="39">
        <v>1.95</v>
      </c>
      <c r="M73" s="39">
        <v>1.95</v>
      </c>
      <c r="N73" s="39">
        <v>1.97</v>
      </c>
      <c r="O73" s="39">
        <v>1.97</v>
      </c>
      <c r="P73" s="39">
        <v>1.97</v>
      </c>
      <c r="Q73" s="39">
        <v>1.95</v>
      </c>
      <c r="R73" s="27" t="s">
        <v>784</v>
      </c>
    </row>
    <row r="74" spans="11:19" ht="12.75">
      <c r="K74" s="31">
        <f aca="true" t="shared" si="18" ref="K74:Q74">(K72*K73)/3600</f>
        <v>18.227777777777778</v>
      </c>
      <c r="L74" s="31">
        <f t="shared" si="18"/>
        <v>18.416666666666668</v>
      </c>
      <c r="M74" s="31">
        <f t="shared" si="18"/>
        <v>18.416666666666668</v>
      </c>
      <c r="N74" s="31">
        <f t="shared" si="18"/>
        <v>19.590555555555557</v>
      </c>
      <c r="O74" s="31">
        <f t="shared" si="18"/>
        <v>19.590555555555557</v>
      </c>
      <c r="P74" s="31">
        <f t="shared" si="18"/>
        <v>19.546777777777777</v>
      </c>
      <c r="Q74" s="31">
        <f t="shared" si="18"/>
        <v>22.22458333333333</v>
      </c>
      <c r="R74" s="34" t="s">
        <v>868</v>
      </c>
      <c r="S74" s="34" t="s">
        <v>876</v>
      </c>
    </row>
    <row r="76" spans="13:16" ht="12.75">
      <c r="M76" s="32"/>
      <c r="N76" s="11" t="s">
        <v>799</v>
      </c>
      <c r="P76" s="32"/>
    </row>
    <row r="77" ht="12.75">
      <c r="M77" s="24"/>
    </row>
    <row r="78" spans="11:18" ht="12.75">
      <c r="K78" t="s">
        <v>269</v>
      </c>
      <c r="L78" t="s">
        <v>269</v>
      </c>
      <c r="M78" s="27" t="s">
        <v>269</v>
      </c>
      <c r="N78" s="87" t="s">
        <v>270</v>
      </c>
      <c r="O78" s="87" t="s">
        <v>269</v>
      </c>
      <c r="P78" s="87" t="s">
        <v>269</v>
      </c>
      <c r="Q78" s="87" t="s">
        <v>269</v>
      </c>
      <c r="R78" t="s">
        <v>268</v>
      </c>
    </row>
    <row r="80" ht="12.75">
      <c r="R80" s="45" t="s">
        <v>166</v>
      </c>
    </row>
    <row r="81" spans="12:18" ht="12.75">
      <c r="L81" s="27"/>
      <c r="M81" s="27"/>
      <c r="N81" s="11" t="s">
        <v>149</v>
      </c>
      <c r="O81" s="27"/>
      <c r="R81" s="45" t="s">
        <v>165</v>
      </c>
    </row>
    <row r="82" spans="12:18" ht="12.75">
      <c r="L82" s="27"/>
      <c r="M82" s="64"/>
      <c r="N82" s="64"/>
      <c r="R82" s="45" t="s">
        <v>338</v>
      </c>
    </row>
    <row r="83" spans="12:18" ht="12.75">
      <c r="L83" s="27" t="s">
        <v>696</v>
      </c>
      <c r="M83" s="27" t="s">
        <v>697</v>
      </c>
      <c r="N83" s="27" t="s">
        <v>146</v>
      </c>
      <c r="O83" s="27" t="s">
        <v>146</v>
      </c>
      <c r="P83" s="27" t="s">
        <v>733</v>
      </c>
      <c r="R83" s="45" t="s">
        <v>331</v>
      </c>
    </row>
    <row r="84" spans="12:18" ht="12.75">
      <c r="L84" s="32" t="s">
        <v>75</v>
      </c>
      <c r="M84" s="32" t="s">
        <v>75</v>
      </c>
      <c r="N84" s="88" t="s">
        <v>152</v>
      </c>
      <c r="O84" s="32" t="s">
        <v>153</v>
      </c>
      <c r="P84" s="32" t="s">
        <v>796</v>
      </c>
      <c r="R84" s="45" t="s">
        <v>164</v>
      </c>
    </row>
    <row r="85" ht="12.75">
      <c r="Q85" s="93"/>
    </row>
    <row r="86" spans="12:17" ht="12.75">
      <c r="L86" s="40"/>
      <c r="M86" s="40" t="s">
        <v>156</v>
      </c>
      <c r="N86" s="40" t="s">
        <v>156</v>
      </c>
      <c r="O86" s="40" t="s">
        <v>157</v>
      </c>
      <c r="P86" s="40"/>
      <c r="Q86" s="93" t="s">
        <v>374</v>
      </c>
    </row>
    <row r="87" spans="12:17" ht="12.75">
      <c r="L87" s="40"/>
      <c r="M87" s="40" t="s">
        <v>167</v>
      </c>
      <c r="N87" s="40"/>
      <c r="O87" s="40"/>
      <c r="P87" s="40"/>
      <c r="Q87" s="93" t="s">
        <v>375</v>
      </c>
    </row>
    <row r="88" spans="12:17" ht="12.75">
      <c r="L88" s="40"/>
      <c r="M88" s="40"/>
      <c r="N88" s="40"/>
      <c r="O88" s="40"/>
      <c r="P88" s="40"/>
      <c r="Q88" s="93"/>
    </row>
    <row r="89" spans="12:17" ht="12.75">
      <c r="L89" s="40" t="s">
        <v>334</v>
      </c>
      <c r="M89" s="40" t="s">
        <v>334</v>
      </c>
      <c r="N89" s="40"/>
      <c r="O89" s="40"/>
      <c r="P89" s="40"/>
      <c r="Q89" s="93" t="s">
        <v>362</v>
      </c>
    </row>
    <row r="90" spans="12:17" ht="12.75">
      <c r="L90" s="40"/>
      <c r="M90" s="40" t="s">
        <v>333</v>
      </c>
      <c r="N90" s="40"/>
      <c r="O90" s="40"/>
      <c r="P90" s="40"/>
      <c r="Q90" s="93" t="s">
        <v>361</v>
      </c>
    </row>
    <row r="91" spans="12:17" ht="12.75">
      <c r="L91" s="40" t="s">
        <v>332</v>
      </c>
      <c r="M91" s="40" t="s">
        <v>332</v>
      </c>
      <c r="N91" s="40"/>
      <c r="O91" s="40"/>
      <c r="P91" s="40"/>
      <c r="Q91" s="93" t="s">
        <v>363</v>
      </c>
    </row>
    <row r="92" spans="9:17" ht="12.75">
      <c r="I92" s="1"/>
      <c r="L92" s="40"/>
      <c r="M92" s="40"/>
      <c r="N92" s="40"/>
      <c r="O92" s="40"/>
      <c r="P92" s="40"/>
      <c r="Q92" s="93"/>
    </row>
    <row r="93" spans="9:18" ht="12.75">
      <c r="I93" s="1" t="s">
        <v>702</v>
      </c>
      <c r="L93" s="40" t="s">
        <v>342</v>
      </c>
      <c r="M93" s="40" t="s">
        <v>342</v>
      </c>
      <c r="N93" s="40"/>
      <c r="O93" s="40"/>
      <c r="P93" s="40" t="s">
        <v>345</v>
      </c>
      <c r="Q93" s="93" t="s">
        <v>366</v>
      </c>
      <c r="R93" s="25" t="s">
        <v>76</v>
      </c>
    </row>
    <row r="94" spans="12:18" ht="12.75">
      <c r="L94" s="40"/>
      <c r="M94" s="40"/>
      <c r="N94" s="40"/>
      <c r="O94" s="40"/>
      <c r="P94" s="40" t="s">
        <v>348</v>
      </c>
      <c r="Q94" s="93" t="s">
        <v>364</v>
      </c>
      <c r="R94" s="25" t="s">
        <v>76</v>
      </c>
    </row>
    <row r="95" spans="12:18" ht="12.75">
      <c r="L95" s="40" t="s">
        <v>346</v>
      </c>
      <c r="M95" s="40" t="s">
        <v>346</v>
      </c>
      <c r="N95" s="40"/>
      <c r="O95" s="40"/>
      <c r="P95" s="40" t="s">
        <v>347</v>
      </c>
      <c r="Q95" s="93" t="s">
        <v>365</v>
      </c>
      <c r="R95" s="25" t="s">
        <v>76</v>
      </c>
    </row>
    <row r="96" spans="12:18" ht="12.75">
      <c r="L96" s="40"/>
      <c r="M96" s="40"/>
      <c r="N96" s="40"/>
      <c r="O96" s="40"/>
      <c r="P96" s="40"/>
      <c r="Q96" s="93"/>
      <c r="R96" s="25"/>
    </row>
    <row r="97" spans="12:18" ht="12.75">
      <c r="L97" s="40" t="s">
        <v>337</v>
      </c>
      <c r="M97" s="40" t="s">
        <v>340</v>
      </c>
      <c r="N97" s="40"/>
      <c r="O97" s="40"/>
      <c r="P97" s="40" t="s">
        <v>339</v>
      </c>
      <c r="Q97" s="93" t="s">
        <v>373</v>
      </c>
      <c r="R97" s="74" t="s">
        <v>77</v>
      </c>
    </row>
    <row r="98" spans="12:18" ht="12.75">
      <c r="L98" s="40"/>
      <c r="M98" s="40"/>
      <c r="N98" s="40"/>
      <c r="O98" s="40"/>
      <c r="P98" s="40"/>
      <c r="Q98" s="93"/>
      <c r="R98" s="25"/>
    </row>
    <row r="99" spans="12:18" ht="12.75">
      <c r="L99" s="40" t="s">
        <v>335</v>
      </c>
      <c r="M99" s="40" t="s">
        <v>335</v>
      </c>
      <c r="N99" s="40"/>
      <c r="O99" s="40"/>
      <c r="P99" s="40" t="s">
        <v>335</v>
      </c>
      <c r="Q99" s="93" t="s">
        <v>350</v>
      </c>
      <c r="R99" s="74" t="s">
        <v>349</v>
      </c>
    </row>
    <row r="100" spans="12:18" ht="12.75">
      <c r="L100" s="40" t="s">
        <v>336</v>
      </c>
      <c r="M100" s="40" t="s">
        <v>336</v>
      </c>
      <c r="N100" s="40"/>
      <c r="O100" s="40"/>
      <c r="P100" s="40" t="s">
        <v>336</v>
      </c>
      <c r="Q100" s="93" t="s">
        <v>360</v>
      </c>
      <c r="R100" s="25" t="s">
        <v>357</v>
      </c>
    </row>
    <row r="101" spans="12:18" ht="12.75">
      <c r="L101" s="40" t="s">
        <v>341</v>
      </c>
      <c r="M101" s="40" t="s">
        <v>341</v>
      </c>
      <c r="P101" s="40" t="s">
        <v>341</v>
      </c>
      <c r="Q101" s="93" t="s">
        <v>351</v>
      </c>
      <c r="R101" s="74" t="s">
        <v>358</v>
      </c>
    </row>
    <row r="102" spans="11:17" ht="12.75">
      <c r="K102" s="14"/>
      <c r="L102" s="40"/>
      <c r="M102" s="40"/>
      <c r="N102" s="40"/>
      <c r="O102" s="40"/>
      <c r="P102" s="40"/>
      <c r="Q102" s="93"/>
    </row>
    <row r="103" spans="12:17" ht="12.75">
      <c r="L103" s="40" t="s">
        <v>354</v>
      </c>
      <c r="M103" s="40" t="s">
        <v>355</v>
      </c>
      <c r="N103" s="40"/>
      <c r="O103" s="40"/>
      <c r="P103" s="40" t="s">
        <v>354</v>
      </c>
      <c r="Q103" s="93" t="s">
        <v>352</v>
      </c>
    </row>
    <row r="104" spans="12:17" ht="12.75">
      <c r="L104" s="40" t="s">
        <v>321</v>
      </c>
      <c r="M104" s="40" t="s">
        <v>322</v>
      </c>
      <c r="N104" s="40"/>
      <c r="O104" s="40"/>
      <c r="P104" s="40" t="s">
        <v>321</v>
      </c>
      <c r="Q104" s="93" t="s">
        <v>71</v>
      </c>
    </row>
    <row r="105" spans="12:17" ht="12.75">
      <c r="L105" s="40" t="s">
        <v>325</v>
      </c>
      <c r="M105" s="40" t="s">
        <v>325</v>
      </c>
      <c r="N105" s="40"/>
      <c r="O105" s="40"/>
      <c r="P105" s="40" t="s">
        <v>356</v>
      </c>
      <c r="Q105" s="93" t="s">
        <v>734</v>
      </c>
    </row>
    <row r="106" spans="12:17" ht="12.75">
      <c r="L106" s="40" t="s">
        <v>323</v>
      </c>
      <c r="M106" s="40" t="s">
        <v>323</v>
      </c>
      <c r="N106" s="40"/>
      <c r="O106" s="40"/>
      <c r="P106" s="40" t="s">
        <v>324</v>
      </c>
      <c r="Q106" s="93" t="s">
        <v>353</v>
      </c>
    </row>
    <row r="107" spans="12:17" ht="12.75">
      <c r="L107" s="40"/>
      <c r="M107" s="40"/>
      <c r="N107" s="40"/>
      <c r="O107" s="40"/>
      <c r="P107" s="40"/>
      <c r="Q107" s="93"/>
    </row>
    <row r="108" spans="12:17" ht="12.75">
      <c r="L108" s="40" t="s">
        <v>154</v>
      </c>
      <c r="M108" s="40"/>
      <c r="O108" s="40"/>
      <c r="P108" s="40" t="s">
        <v>326</v>
      </c>
      <c r="Q108" s="93"/>
    </row>
    <row r="109" ht="12.75">
      <c r="Q109" s="93"/>
    </row>
    <row r="110" spans="12:18" ht="12.75">
      <c r="L110" s="40" t="s">
        <v>176</v>
      </c>
      <c r="P110" s="40" t="s">
        <v>176</v>
      </c>
      <c r="Q110" s="93"/>
      <c r="R110" s="25" t="s">
        <v>359</v>
      </c>
    </row>
    <row r="111" ht="12.75">
      <c r="Q111" s="93"/>
    </row>
    <row r="112" spans="16:18" ht="12.75">
      <c r="P112" s="40" t="s">
        <v>367</v>
      </c>
      <c r="Q112" s="93" t="s">
        <v>371</v>
      </c>
      <c r="R112" s="25" t="s">
        <v>370</v>
      </c>
    </row>
    <row r="113" spans="16:18" ht="12.75">
      <c r="P113" s="40" t="s">
        <v>368</v>
      </c>
      <c r="Q113" s="93" t="s">
        <v>372</v>
      </c>
      <c r="R113" s="25" t="s">
        <v>370</v>
      </c>
    </row>
    <row r="114" spans="9:18" ht="12.75">
      <c r="I114" s="1" t="s">
        <v>706</v>
      </c>
      <c r="P114" s="40" t="s">
        <v>369</v>
      </c>
      <c r="Q114" s="93" t="s">
        <v>71</v>
      </c>
      <c r="R114" s="25" t="s">
        <v>370</v>
      </c>
    </row>
    <row r="116" spans="12:15" ht="12.75">
      <c r="L116" s="27"/>
      <c r="M116" s="27"/>
      <c r="N116" s="11" t="s">
        <v>150</v>
      </c>
      <c r="O116" s="27"/>
    </row>
    <row r="117" spans="12:14" ht="12.75">
      <c r="L117" s="27"/>
      <c r="M117" s="64"/>
      <c r="N117" s="64"/>
    </row>
    <row r="118" spans="12:16" ht="12.75">
      <c r="L118" s="27" t="s">
        <v>696</v>
      </c>
      <c r="M118" s="27" t="s">
        <v>697</v>
      </c>
      <c r="N118" s="27" t="s">
        <v>146</v>
      </c>
      <c r="O118" s="27" t="s">
        <v>146</v>
      </c>
      <c r="P118" s="27" t="s">
        <v>733</v>
      </c>
    </row>
    <row r="119" spans="12:16" ht="12.75">
      <c r="L119" s="32" t="s">
        <v>75</v>
      </c>
      <c r="M119" s="32" t="s">
        <v>75</v>
      </c>
      <c r="N119" s="88" t="s">
        <v>152</v>
      </c>
      <c r="O119" s="32" t="s">
        <v>153</v>
      </c>
      <c r="P119" s="32" t="s">
        <v>796</v>
      </c>
    </row>
    <row r="121" spans="12:16" ht="12.75">
      <c r="L121" s="40"/>
      <c r="M121" s="40"/>
      <c r="N121" s="40" t="s">
        <v>156</v>
      </c>
      <c r="O121" s="40" t="s">
        <v>157</v>
      </c>
      <c r="P121" s="40"/>
    </row>
    <row r="122" spans="12:16" ht="12.75">
      <c r="L122" s="40"/>
      <c r="M122" s="40" t="s">
        <v>167</v>
      </c>
      <c r="N122" s="40"/>
      <c r="O122" s="40"/>
      <c r="P122" s="40"/>
    </row>
    <row r="124" spans="12:13" ht="12.75">
      <c r="L124" s="40" t="s">
        <v>332</v>
      </c>
      <c r="M124" s="40" t="s">
        <v>332</v>
      </c>
    </row>
    <row r="125" spans="12:16" ht="12.75">
      <c r="L125" s="40"/>
      <c r="M125" s="40" t="s">
        <v>163</v>
      </c>
      <c r="N125" s="40"/>
      <c r="O125" s="40"/>
      <c r="P125" s="40"/>
    </row>
    <row r="126" spans="12:16" ht="12.75">
      <c r="L126" s="40"/>
      <c r="M126" s="40"/>
      <c r="N126" s="40"/>
      <c r="O126" s="40"/>
      <c r="P126" s="40"/>
    </row>
    <row r="127" spans="12:18" ht="12.75">
      <c r="L127" s="40" t="s">
        <v>376</v>
      </c>
      <c r="M127" s="40" t="s">
        <v>376</v>
      </c>
      <c r="N127" s="25"/>
      <c r="O127" s="25"/>
      <c r="P127" s="25"/>
      <c r="Q127" s="25"/>
      <c r="R127" s="25" t="s">
        <v>76</v>
      </c>
    </row>
    <row r="129" spans="12:16" ht="12.75">
      <c r="L129" s="40" t="s">
        <v>161</v>
      </c>
      <c r="M129" s="40" t="s">
        <v>161</v>
      </c>
      <c r="N129" s="40"/>
      <c r="O129" s="40"/>
      <c r="P129" s="40"/>
    </row>
    <row r="130" spans="12:16" ht="12.75">
      <c r="L130" s="40" t="s">
        <v>609</v>
      </c>
      <c r="M130" s="40" t="s">
        <v>609</v>
      </c>
      <c r="N130" s="40"/>
      <c r="O130" s="40"/>
      <c r="P130" s="40"/>
    </row>
    <row r="131" spans="12:16" ht="12.75">
      <c r="L131" s="40" t="s">
        <v>162</v>
      </c>
      <c r="M131" s="40" t="s">
        <v>162</v>
      </c>
      <c r="N131" s="40"/>
      <c r="O131" s="40"/>
      <c r="P131" s="40"/>
    </row>
    <row r="133" spans="12:18" ht="12.75">
      <c r="L133" s="40" t="s">
        <v>335</v>
      </c>
      <c r="M133" s="40" t="s">
        <v>335</v>
      </c>
      <c r="N133" s="40"/>
      <c r="O133" s="40"/>
      <c r="P133" s="40" t="s">
        <v>335</v>
      </c>
      <c r="Q133" s="93" t="s">
        <v>350</v>
      </c>
      <c r="R133" s="74" t="s">
        <v>349</v>
      </c>
    </row>
    <row r="134" spans="12:16" ht="12.75">
      <c r="L134" s="40"/>
      <c r="M134" s="40"/>
      <c r="N134" s="40"/>
      <c r="O134" s="40"/>
      <c r="P134" s="40"/>
    </row>
    <row r="135" spans="9:18" ht="12.75">
      <c r="I135" s="1" t="s">
        <v>707</v>
      </c>
      <c r="M135" s="40" t="s">
        <v>168</v>
      </c>
      <c r="N135" s="40"/>
      <c r="O135" s="40"/>
      <c r="P135" s="40" t="s">
        <v>169</v>
      </c>
      <c r="R135" s="74" t="s">
        <v>77</v>
      </c>
    </row>
    <row r="137" spans="12:17" ht="12.75">
      <c r="L137" s="40" t="s">
        <v>354</v>
      </c>
      <c r="M137" s="40" t="s">
        <v>355</v>
      </c>
      <c r="N137" s="40"/>
      <c r="O137" s="40"/>
      <c r="P137" s="40" t="s">
        <v>354</v>
      </c>
      <c r="Q137" s="93" t="s">
        <v>352</v>
      </c>
    </row>
    <row r="138" spans="12:17" ht="12.75">
      <c r="L138" s="40" t="s">
        <v>321</v>
      </c>
      <c r="M138" s="40" t="s">
        <v>322</v>
      </c>
      <c r="N138" s="40"/>
      <c r="O138" s="40"/>
      <c r="P138" s="40" t="s">
        <v>321</v>
      </c>
      <c r="Q138" s="93" t="s">
        <v>71</v>
      </c>
    </row>
    <row r="139" spans="12:17" ht="12.75">
      <c r="L139" s="40" t="s">
        <v>325</v>
      </c>
      <c r="M139" s="40" t="s">
        <v>325</v>
      </c>
      <c r="N139" s="40"/>
      <c r="O139" s="40"/>
      <c r="P139" s="40" t="s">
        <v>330</v>
      </c>
      <c r="Q139" s="93" t="s">
        <v>734</v>
      </c>
    </row>
    <row r="140" spans="12:17" ht="12.75">
      <c r="L140" s="40" t="s">
        <v>323</v>
      </c>
      <c r="M140" s="40" t="s">
        <v>324</v>
      </c>
      <c r="N140" s="40"/>
      <c r="O140" s="40"/>
      <c r="P140" s="40" t="s">
        <v>324</v>
      </c>
      <c r="Q140" s="93" t="s">
        <v>353</v>
      </c>
    </row>
    <row r="141" spans="12:17" ht="12.75">
      <c r="L141" s="40" t="s">
        <v>64</v>
      </c>
      <c r="P141" s="40" t="s">
        <v>64</v>
      </c>
      <c r="Q141" s="93" t="s">
        <v>862</v>
      </c>
    </row>
    <row r="143" spans="12:18" ht="12.75">
      <c r="L143" s="40" t="s">
        <v>377</v>
      </c>
      <c r="M143" s="40" t="s">
        <v>377</v>
      </c>
      <c r="P143" s="40" t="s">
        <v>377</v>
      </c>
      <c r="R143" s="25" t="s">
        <v>370</v>
      </c>
    </row>
    <row r="145" spans="12:18" ht="12.75">
      <c r="L145" s="40" t="s">
        <v>176</v>
      </c>
      <c r="P145" s="40"/>
      <c r="Q145" s="93"/>
      <c r="R145" s="25" t="s">
        <v>359</v>
      </c>
    </row>
    <row r="146" spans="16:18" ht="12.75">
      <c r="P146" s="40" t="s">
        <v>177</v>
      </c>
      <c r="R146" s="25" t="s">
        <v>359</v>
      </c>
    </row>
    <row r="148" spans="12:16" ht="12.75">
      <c r="L148" s="40" t="s">
        <v>154</v>
      </c>
      <c r="M148" s="40"/>
      <c r="N148" s="40"/>
      <c r="O148" s="40"/>
      <c r="P148" s="40" t="s">
        <v>326</v>
      </c>
    </row>
    <row r="149" spans="12:18" ht="12.75">
      <c r="L149" s="40"/>
      <c r="M149" s="40" t="s">
        <v>155</v>
      </c>
      <c r="N149" s="40"/>
      <c r="O149" s="40" t="s">
        <v>155</v>
      </c>
      <c r="P149" s="40"/>
      <c r="R149" s="74" t="s">
        <v>804</v>
      </c>
    </row>
    <row r="150" spans="12:18" ht="12.75">
      <c r="L150" s="40"/>
      <c r="M150" s="40"/>
      <c r="N150" s="40"/>
      <c r="O150" s="40" t="s">
        <v>379</v>
      </c>
      <c r="P150" s="40"/>
      <c r="R150" s="74" t="s">
        <v>597</v>
      </c>
    </row>
    <row r="151" spans="12:18" ht="12.75">
      <c r="L151" s="40"/>
      <c r="M151" s="40" t="s">
        <v>378</v>
      </c>
      <c r="N151" s="40"/>
      <c r="O151" s="40"/>
      <c r="P151" s="40"/>
      <c r="R151" s="74" t="s">
        <v>171</v>
      </c>
    </row>
    <row r="152" spans="13:18" ht="12.75">
      <c r="M152" s="40"/>
      <c r="R152" s="74"/>
    </row>
    <row r="154" spans="12:15" ht="12.75">
      <c r="L154" s="27"/>
      <c r="M154" s="27"/>
      <c r="N154" s="11" t="s">
        <v>151</v>
      </c>
      <c r="O154" s="27"/>
    </row>
    <row r="155" spans="12:14" ht="12.75">
      <c r="L155" s="27"/>
      <c r="M155" s="64"/>
      <c r="N155" s="64"/>
    </row>
    <row r="156" spans="9:16" ht="12.75">
      <c r="I156" s="1" t="s">
        <v>710</v>
      </c>
      <c r="L156" s="27" t="s">
        <v>696</v>
      </c>
      <c r="M156" s="27" t="s">
        <v>697</v>
      </c>
      <c r="N156" s="27" t="s">
        <v>146</v>
      </c>
      <c r="O156" s="27" t="s">
        <v>146</v>
      </c>
      <c r="P156" s="27" t="s">
        <v>733</v>
      </c>
    </row>
    <row r="157" spans="12:16" ht="12.75">
      <c r="L157" s="32" t="s">
        <v>75</v>
      </c>
      <c r="M157" s="32" t="s">
        <v>75</v>
      </c>
      <c r="N157" s="88" t="s">
        <v>152</v>
      </c>
      <c r="O157" s="32" t="s">
        <v>153</v>
      </c>
      <c r="P157" s="32" t="s">
        <v>796</v>
      </c>
    </row>
    <row r="158" spans="12:14" ht="12.75">
      <c r="L158" s="27"/>
      <c r="M158" s="27"/>
      <c r="N158" s="64"/>
    </row>
    <row r="159" spans="12:17" ht="12.75">
      <c r="L159" s="40"/>
      <c r="M159" s="40" t="s">
        <v>167</v>
      </c>
      <c r="N159" s="40" t="s">
        <v>156</v>
      </c>
      <c r="O159" s="40" t="s">
        <v>157</v>
      </c>
      <c r="P159" s="40"/>
      <c r="Q159" s="45"/>
    </row>
    <row r="160" spans="12:17" ht="12.75">
      <c r="L160" s="40"/>
      <c r="M160" s="40"/>
      <c r="N160" s="40"/>
      <c r="O160" s="40"/>
      <c r="P160" s="40"/>
      <c r="Q160" s="45"/>
    </row>
    <row r="161" spans="12:17" ht="12.75">
      <c r="L161" s="40" t="s">
        <v>158</v>
      </c>
      <c r="M161" s="40" t="s">
        <v>158</v>
      </c>
      <c r="N161" s="40"/>
      <c r="O161" s="40"/>
      <c r="P161" s="40"/>
      <c r="Q161" s="45"/>
    </row>
    <row r="162" spans="12:16" ht="12.75">
      <c r="L162" s="40" t="s">
        <v>159</v>
      </c>
      <c r="M162" s="40" t="s">
        <v>159</v>
      </c>
      <c r="N162" s="40"/>
      <c r="O162" s="40"/>
      <c r="P162" s="40"/>
    </row>
    <row r="163" spans="12:16" ht="12.75">
      <c r="L163" s="40" t="s">
        <v>160</v>
      </c>
      <c r="M163" s="40" t="s">
        <v>160</v>
      </c>
      <c r="N163" s="40"/>
      <c r="O163" s="40"/>
      <c r="P163" s="40"/>
    </row>
    <row r="164" spans="12:16" ht="12.75">
      <c r="L164" s="40"/>
      <c r="M164" s="40"/>
      <c r="N164" s="40"/>
      <c r="O164" s="40"/>
      <c r="P164" s="40"/>
    </row>
    <row r="165" spans="12:16" ht="12.75">
      <c r="L165" s="40"/>
      <c r="M165" s="40" t="s">
        <v>163</v>
      </c>
      <c r="N165" s="89"/>
      <c r="O165" s="40"/>
      <c r="P165" s="40"/>
    </row>
    <row r="166" spans="12:16" ht="12.75">
      <c r="L166" s="40"/>
      <c r="M166" s="40"/>
      <c r="N166" s="89"/>
      <c r="O166" s="40"/>
      <c r="P166" s="40"/>
    </row>
    <row r="167" spans="12:16" ht="12.75">
      <c r="L167" s="25" t="s">
        <v>941</v>
      </c>
      <c r="M167" s="25" t="s">
        <v>170</v>
      </c>
      <c r="N167" s="25"/>
      <c r="O167" s="25"/>
      <c r="P167" s="25" t="s">
        <v>940</v>
      </c>
    </row>
    <row r="168" spans="13:16" ht="12.75">
      <c r="M168" s="40" t="s">
        <v>168</v>
      </c>
      <c r="N168" s="40"/>
      <c r="O168" s="40"/>
      <c r="P168" s="40" t="s">
        <v>169</v>
      </c>
    </row>
    <row r="169" spans="14:16" ht="12.75">
      <c r="N169" s="89"/>
      <c r="O169" s="40"/>
      <c r="P169" s="40"/>
    </row>
    <row r="170" spans="12:16" ht="12.75">
      <c r="L170" s="40" t="s">
        <v>161</v>
      </c>
      <c r="M170" s="40" t="s">
        <v>161</v>
      </c>
      <c r="N170" s="40"/>
      <c r="O170" s="40"/>
      <c r="P170" s="40"/>
    </row>
    <row r="171" spans="12:13" ht="12.75">
      <c r="L171" s="40" t="s">
        <v>162</v>
      </c>
      <c r="M171" s="40" t="s">
        <v>942</v>
      </c>
    </row>
    <row r="172" spans="12:16" ht="12.75">
      <c r="L172" s="40" t="s">
        <v>943</v>
      </c>
      <c r="M172" s="40" t="s">
        <v>943</v>
      </c>
      <c r="N172" s="40"/>
      <c r="O172" s="40"/>
      <c r="P172" s="40"/>
    </row>
    <row r="174" spans="12:17" ht="12.75">
      <c r="L174" s="40" t="s">
        <v>321</v>
      </c>
      <c r="M174" s="40" t="s">
        <v>322</v>
      </c>
      <c r="N174" s="40"/>
      <c r="O174" s="40"/>
      <c r="P174" s="40" t="s">
        <v>321</v>
      </c>
      <c r="Q174" s="93" t="s">
        <v>71</v>
      </c>
    </row>
    <row r="175" spans="12:17" ht="12.75">
      <c r="L175" s="40" t="s">
        <v>64</v>
      </c>
      <c r="M175" s="40" t="s">
        <v>64</v>
      </c>
      <c r="P175" s="40" t="s">
        <v>64</v>
      </c>
      <c r="Q175" s="93" t="s">
        <v>862</v>
      </c>
    </row>
    <row r="176" ht="12.75">
      <c r="I176" s="1" t="s">
        <v>725</v>
      </c>
    </row>
    <row r="177" spans="12:16" ht="12.75">
      <c r="L177" s="40" t="s">
        <v>154</v>
      </c>
      <c r="M177" s="40"/>
      <c r="N177" s="40"/>
      <c r="O177" s="40"/>
      <c r="P177" s="40" t="s">
        <v>326</v>
      </c>
    </row>
    <row r="178" spans="12:16" ht="12.75">
      <c r="L178" s="40"/>
      <c r="M178" s="40" t="s">
        <v>944</v>
      </c>
      <c r="N178" s="40"/>
      <c r="O178" s="40" t="s">
        <v>155</v>
      </c>
      <c r="P178" s="40"/>
    </row>
    <row r="179" spans="12:16" ht="12.75">
      <c r="L179" s="40"/>
      <c r="M179" s="40" t="s">
        <v>171</v>
      </c>
      <c r="N179" s="40"/>
      <c r="O179" s="40" t="s">
        <v>804</v>
      </c>
      <c r="P179" s="40"/>
    </row>
    <row r="180" spans="12:18" ht="12.75">
      <c r="L180" s="40"/>
      <c r="P180" s="40" t="s">
        <v>176</v>
      </c>
      <c r="R180" s="25" t="s">
        <v>359</v>
      </c>
    </row>
    <row r="181" spans="12:18" ht="12.75">
      <c r="L181" s="40" t="s">
        <v>177</v>
      </c>
      <c r="P181" s="40" t="s">
        <v>177</v>
      </c>
      <c r="R181" s="25" t="s">
        <v>359</v>
      </c>
    </row>
    <row r="183" spans="12:15" ht="12.75">
      <c r="L183" s="27"/>
      <c r="M183" s="27"/>
      <c r="N183" s="11" t="s">
        <v>286</v>
      </c>
      <c r="O183" s="27"/>
    </row>
    <row r="184" spans="12:14" ht="12.75">
      <c r="L184" s="27"/>
      <c r="M184" s="64"/>
      <c r="N184" s="64"/>
    </row>
    <row r="185" spans="12:16" ht="12.75">
      <c r="L185" s="27" t="s">
        <v>696</v>
      </c>
      <c r="M185" s="27" t="s">
        <v>697</v>
      </c>
      <c r="N185" s="27" t="s">
        <v>146</v>
      </c>
      <c r="O185" s="27" t="s">
        <v>146</v>
      </c>
      <c r="P185" s="27" t="s">
        <v>733</v>
      </c>
    </row>
    <row r="186" spans="12:16" ht="12.75">
      <c r="L186" s="32" t="s">
        <v>75</v>
      </c>
      <c r="M186" s="32" t="s">
        <v>75</v>
      </c>
      <c r="N186" s="88" t="s">
        <v>152</v>
      </c>
      <c r="O186" s="32" t="s">
        <v>153</v>
      </c>
      <c r="P186" s="32" t="s">
        <v>796</v>
      </c>
    </row>
    <row r="187" spans="12:14" ht="12.75">
      <c r="L187" s="27"/>
      <c r="M187" s="27"/>
      <c r="N187" s="64"/>
    </row>
    <row r="188" spans="12:16" ht="12.75">
      <c r="L188" s="40"/>
      <c r="M188" s="40" t="s">
        <v>167</v>
      </c>
      <c r="N188" s="40" t="s">
        <v>156</v>
      </c>
      <c r="O188" s="40" t="s">
        <v>157</v>
      </c>
      <c r="P188" s="40"/>
    </row>
    <row r="189" spans="12:16" ht="12.75">
      <c r="L189" s="40"/>
      <c r="M189" s="40"/>
      <c r="N189" s="40"/>
      <c r="O189" s="40"/>
      <c r="P189" s="40"/>
    </row>
    <row r="190" spans="12:16" ht="12.75">
      <c r="L190" s="40" t="s">
        <v>320</v>
      </c>
      <c r="M190" s="40" t="s">
        <v>320</v>
      </c>
      <c r="P190" s="40" t="s">
        <v>320</v>
      </c>
    </row>
    <row r="192" spans="12:16" ht="12.75">
      <c r="L192" s="40"/>
      <c r="M192" s="40" t="s">
        <v>168</v>
      </c>
      <c r="N192" s="40"/>
      <c r="O192" s="40"/>
      <c r="P192" s="40" t="s">
        <v>169</v>
      </c>
    </row>
    <row r="193" spans="12:17" ht="12.75">
      <c r="L193" s="40" t="s">
        <v>323</v>
      </c>
      <c r="M193" s="40" t="s">
        <v>323</v>
      </c>
      <c r="N193" s="89"/>
      <c r="O193" s="40"/>
      <c r="P193" s="40" t="s">
        <v>324</v>
      </c>
      <c r="Q193" s="45"/>
    </row>
    <row r="194" spans="12:17" ht="12.75">
      <c r="L194" s="40" t="s">
        <v>325</v>
      </c>
      <c r="M194" s="40" t="s">
        <v>325</v>
      </c>
      <c r="N194" s="40"/>
      <c r="O194" s="40"/>
      <c r="P194" s="40" t="s">
        <v>330</v>
      </c>
      <c r="Q194" s="45"/>
    </row>
    <row r="195" spans="12:16" ht="12.75">
      <c r="L195" s="40"/>
      <c r="M195" s="40"/>
      <c r="N195" s="89"/>
      <c r="O195" s="40"/>
      <c r="P195" s="40"/>
    </row>
    <row r="196" spans="13:18" ht="12.75">
      <c r="M196" s="40"/>
      <c r="O196" s="40"/>
      <c r="P196" s="40" t="s">
        <v>328</v>
      </c>
      <c r="R196" s="74" t="s">
        <v>329</v>
      </c>
    </row>
    <row r="197" spans="12:15" ht="12.75">
      <c r="L197" s="40"/>
      <c r="M197" s="40"/>
      <c r="N197" s="40"/>
      <c r="O197" s="40"/>
    </row>
    <row r="198" spans="9:16" ht="12.75">
      <c r="I198" s="1" t="s">
        <v>724</v>
      </c>
      <c r="L198" s="40" t="s">
        <v>154</v>
      </c>
      <c r="M198" s="40"/>
      <c r="N198" s="40"/>
      <c r="O198" s="40"/>
      <c r="P198" s="40" t="s">
        <v>326</v>
      </c>
    </row>
    <row r="199" spans="12:16" ht="12.75">
      <c r="L199" s="40"/>
      <c r="M199" s="25"/>
      <c r="N199" s="25"/>
      <c r="O199" s="25"/>
      <c r="P199" s="40"/>
    </row>
    <row r="200" spans="12:18" ht="12.75">
      <c r="L200" s="40"/>
      <c r="M200" s="40"/>
      <c r="N200" s="40"/>
      <c r="O200" s="40"/>
      <c r="P200" s="40" t="s">
        <v>327</v>
      </c>
      <c r="R200" s="74" t="s">
        <v>804</v>
      </c>
    </row>
    <row r="201" spans="12:15" ht="12.75">
      <c r="L201" s="25"/>
      <c r="M201" s="25"/>
      <c r="N201" s="25"/>
      <c r="O201" s="25"/>
    </row>
    <row r="202" spans="12:15" ht="12.75">
      <c r="L202" s="25"/>
      <c r="M202" s="25"/>
      <c r="N202" s="25"/>
      <c r="O202" s="25"/>
    </row>
    <row r="208" spans="12:16" ht="12.75">
      <c r="L208" s="25"/>
      <c r="M208" s="25"/>
      <c r="N208" s="25"/>
      <c r="O208" s="25"/>
      <c r="P208" s="25"/>
    </row>
    <row r="209" spans="12:16" ht="12.75">
      <c r="L209" s="40"/>
      <c r="M209" s="40"/>
      <c r="N209" s="40"/>
      <c r="O209" s="40"/>
      <c r="P209" s="40"/>
    </row>
    <row r="212" spans="12:16" ht="12.75">
      <c r="L212" s="25"/>
      <c r="M212" s="25"/>
      <c r="N212" s="25"/>
      <c r="O212" s="40"/>
      <c r="P212" s="40"/>
    </row>
    <row r="213" spans="12:16" ht="12.75">
      <c r="L213" s="40"/>
      <c r="M213" s="40"/>
      <c r="N213" s="40"/>
      <c r="O213" s="40"/>
      <c r="P213" s="40"/>
    </row>
    <row r="214" spans="12:16" ht="12.75">
      <c r="L214" s="40"/>
      <c r="M214" s="40"/>
      <c r="N214" s="40"/>
      <c r="P214" s="40"/>
    </row>
    <row r="215" spans="12:16" ht="12.75">
      <c r="L215" s="40"/>
      <c r="M215" s="40"/>
      <c r="N215" s="40"/>
      <c r="P215" s="40"/>
    </row>
    <row r="216" ht="12.75">
      <c r="P216" s="40"/>
    </row>
    <row r="217" ht="12.75">
      <c r="P217" s="40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222"/>
  <sheetViews>
    <sheetView workbookViewId="0" topLeftCell="J100">
      <selection activeCell="P114" sqref="P114:T114"/>
    </sheetView>
  </sheetViews>
  <sheetFormatPr defaultColWidth="9.140625" defaultRowHeight="12.75"/>
  <cols>
    <col min="1" max="10" width="10.421875" style="0" customWidth="1"/>
    <col min="11" max="14" width="11.8515625" style="0" customWidth="1"/>
    <col min="15" max="15" width="11.57421875" style="0" customWidth="1"/>
    <col min="16" max="16" width="11.8515625" style="0" customWidth="1"/>
    <col min="17" max="18" width="11.57421875" style="0" customWidth="1"/>
    <col min="19" max="24" width="10.421875" style="0" customWidth="1"/>
    <col min="25" max="25" width="10.00390625" style="0" customWidth="1"/>
    <col min="26" max="27" width="10.421875" style="0" customWidth="1"/>
    <col min="28" max="28" width="10.00390625" style="0" customWidth="1"/>
    <col min="29" max="30" width="10.421875" style="0" customWidth="1"/>
    <col min="31" max="31" width="2.7109375" style="0" customWidth="1"/>
    <col min="32" max="35" width="10.421875" style="0" customWidth="1"/>
    <col min="36" max="36" width="11.7109375" style="0" customWidth="1"/>
    <col min="37" max="43" width="10.421875" style="0" customWidth="1"/>
    <col min="44" max="44" width="2.57421875" style="0" customWidth="1"/>
    <col min="45" max="45" width="11.00390625" style="0" customWidth="1"/>
    <col min="46" max="46" width="10.8515625" style="0" customWidth="1"/>
    <col min="47" max="47" width="11.00390625" style="0" customWidth="1"/>
    <col min="48" max="16384" width="10.421875" style="0" customWidth="1"/>
  </cols>
  <sheetData>
    <row r="1" spans="1:47" ht="12.75">
      <c r="A1" s="1" t="s">
        <v>699</v>
      </c>
      <c r="B1" t="s">
        <v>743</v>
      </c>
      <c r="C1" s="8" t="s">
        <v>719</v>
      </c>
      <c r="D1" s="3" t="s">
        <v>700</v>
      </c>
      <c r="E1" t="s">
        <v>743</v>
      </c>
      <c r="F1" s="8" t="s">
        <v>719</v>
      </c>
      <c r="G1" s="3" t="s">
        <v>701</v>
      </c>
      <c r="H1" t="s">
        <v>743</v>
      </c>
      <c r="I1" s="8" t="s">
        <v>719</v>
      </c>
      <c r="J1" s="3" t="s">
        <v>702</v>
      </c>
      <c r="K1" t="s">
        <v>743</v>
      </c>
      <c r="L1" s="8" t="s">
        <v>719</v>
      </c>
      <c r="M1" s="3" t="s">
        <v>706</v>
      </c>
      <c r="N1" t="s">
        <v>743</v>
      </c>
      <c r="O1" s="8" t="s">
        <v>719</v>
      </c>
      <c r="P1" s="3" t="s">
        <v>707</v>
      </c>
      <c r="Q1" t="s">
        <v>743</v>
      </c>
      <c r="R1" s="8" t="s">
        <v>719</v>
      </c>
      <c r="S1" s="3" t="s">
        <v>710</v>
      </c>
      <c r="T1" t="s">
        <v>743</v>
      </c>
      <c r="U1" s="8" t="s">
        <v>719</v>
      </c>
      <c r="V1" s="3" t="s">
        <v>725</v>
      </c>
      <c r="W1" t="s">
        <v>743</v>
      </c>
      <c r="X1" s="8" t="s">
        <v>719</v>
      </c>
      <c r="Y1" s="3" t="s">
        <v>724</v>
      </c>
      <c r="Z1" t="s">
        <v>743</v>
      </c>
      <c r="AA1" s="8" t="s">
        <v>719</v>
      </c>
      <c r="AB1" s="3" t="s">
        <v>864</v>
      </c>
      <c r="AC1" t="s">
        <v>743</v>
      </c>
      <c r="AD1" s="8" t="s">
        <v>719</v>
      </c>
      <c r="AF1" s="3" t="s">
        <v>714</v>
      </c>
      <c r="AG1" t="s">
        <v>743</v>
      </c>
      <c r="AH1" s="8" t="s">
        <v>719</v>
      </c>
      <c r="AI1" s="15" t="s">
        <v>711</v>
      </c>
      <c r="AJ1" t="s">
        <v>743</v>
      </c>
      <c r="AK1" s="8" t="s">
        <v>719</v>
      </c>
      <c r="AL1" s="15" t="s">
        <v>712</v>
      </c>
      <c r="AM1" t="s">
        <v>743</v>
      </c>
      <c r="AN1" s="8" t="s">
        <v>719</v>
      </c>
      <c r="AO1" s="15" t="s">
        <v>713</v>
      </c>
      <c r="AP1" t="s">
        <v>743</v>
      </c>
      <c r="AQ1" s="8" t="s">
        <v>719</v>
      </c>
      <c r="AR1" s="15"/>
      <c r="AS1" s="1" t="s">
        <v>721</v>
      </c>
      <c r="AT1" t="s">
        <v>743</v>
      </c>
      <c r="AU1" s="8" t="s">
        <v>719</v>
      </c>
    </row>
    <row r="2" spans="1:47" ht="12.75">
      <c r="A2" s="102"/>
      <c r="C2" s="8"/>
      <c r="D2" s="4"/>
      <c r="F2" s="8"/>
      <c r="G2" s="4"/>
      <c r="I2" s="8"/>
      <c r="J2" s="4"/>
      <c r="L2" s="8"/>
      <c r="M2" s="4"/>
      <c r="O2" s="8"/>
      <c r="P2" s="4"/>
      <c r="R2" s="8"/>
      <c r="S2" s="4"/>
      <c r="U2" s="8"/>
      <c r="V2" s="4"/>
      <c r="X2" s="8"/>
      <c r="Y2" s="4"/>
      <c r="AA2" s="8"/>
      <c r="AB2" s="101"/>
      <c r="AK2" s="8"/>
      <c r="AL2" s="4"/>
      <c r="AN2" s="8"/>
      <c r="AO2" s="4"/>
      <c r="AQ2" s="8"/>
      <c r="AR2" s="4"/>
      <c r="AS2" s="24" t="s">
        <v>722</v>
      </c>
      <c r="AU2" s="8"/>
    </row>
    <row r="3" spans="1:47" ht="12.75">
      <c r="A3" s="8">
        <v>0</v>
      </c>
      <c r="B3" s="8">
        <v>123</v>
      </c>
      <c r="C3" s="7">
        <f aca="true" t="shared" si="0" ref="C3:C16">B3*1.688</f>
        <v>207.624</v>
      </c>
      <c r="D3" s="8">
        <v>0</v>
      </c>
      <c r="E3" s="8"/>
      <c r="F3" s="7">
        <f>E3*1.688</f>
        <v>0</v>
      </c>
      <c r="G3" s="8">
        <v>0</v>
      </c>
      <c r="H3" s="7"/>
      <c r="I3" s="7">
        <f aca="true" t="shared" si="1" ref="I3:I12">H3*1.688</f>
        <v>0</v>
      </c>
      <c r="J3" s="8">
        <v>0</v>
      </c>
      <c r="K3" s="56"/>
      <c r="L3" s="7">
        <f aca="true" t="shared" si="2" ref="L3:L11">K3*1.688</f>
        <v>0</v>
      </c>
      <c r="M3" s="8">
        <v>0</v>
      </c>
      <c r="N3" s="7"/>
      <c r="O3" s="7">
        <f aca="true" t="shared" si="3" ref="O3:O9">N3*1.688</f>
        <v>0</v>
      </c>
      <c r="P3" s="8">
        <v>0</v>
      </c>
      <c r="Q3" s="7"/>
      <c r="R3" s="7">
        <f aca="true" t="shared" si="4" ref="R3:R9">Q3*1.688</f>
        <v>0</v>
      </c>
      <c r="S3" s="8">
        <v>0</v>
      </c>
      <c r="T3" s="56"/>
      <c r="U3" s="7">
        <f>T3*1.688</f>
        <v>0</v>
      </c>
      <c r="V3" s="8">
        <v>0</v>
      </c>
      <c r="W3" s="56"/>
      <c r="X3" s="7">
        <f>W3*1.688</f>
        <v>0</v>
      </c>
      <c r="Y3" s="8">
        <v>0</v>
      </c>
      <c r="Z3" s="7"/>
      <c r="AA3" s="7">
        <f>Z3*1.688</f>
        <v>0</v>
      </c>
      <c r="AB3" s="8">
        <v>0</v>
      </c>
      <c r="AC3" s="7"/>
      <c r="AD3" s="7">
        <f>AC3*1.688</f>
        <v>0</v>
      </c>
      <c r="AF3" s="8">
        <v>0</v>
      </c>
      <c r="AG3" s="7">
        <f aca="true" t="shared" si="5" ref="AG3:AG8">B3-10</f>
        <v>113</v>
      </c>
      <c r="AH3" s="7">
        <f aca="true" t="shared" si="6" ref="AH3:AH16">AG3*1.688</f>
        <v>190.744</v>
      </c>
      <c r="AI3" s="8">
        <v>0</v>
      </c>
      <c r="AJ3" s="8">
        <v>123</v>
      </c>
      <c r="AK3" s="7">
        <f aca="true" t="shared" si="7" ref="AK3:AK8">AJ3*1.688</f>
        <v>207.624</v>
      </c>
      <c r="AL3" s="8">
        <v>0</v>
      </c>
      <c r="AM3" s="78"/>
      <c r="AN3" s="7">
        <f aca="true" t="shared" si="8" ref="AN3:AN13">AM3*1.688</f>
        <v>0</v>
      </c>
      <c r="AO3" s="8">
        <v>0</v>
      </c>
      <c r="AP3" s="78"/>
      <c r="AQ3" s="7">
        <f aca="true" t="shared" si="9" ref="AQ3:AQ12">AP3*1.688</f>
        <v>0</v>
      </c>
      <c r="AR3" s="8"/>
      <c r="AS3" s="8">
        <v>0</v>
      </c>
      <c r="AT3" s="8"/>
      <c r="AU3" s="7"/>
    </row>
    <row r="4" spans="1:47" ht="12.75">
      <c r="A4" s="6">
        <v>10000</v>
      </c>
      <c r="B4" s="111">
        <v>176</v>
      </c>
      <c r="C4" s="7">
        <f t="shared" si="0"/>
        <v>297.08799999999997</v>
      </c>
      <c r="D4" s="6">
        <v>10000</v>
      </c>
      <c r="E4" s="38"/>
      <c r="F4" s="7">
        <f aca="true" t="shared" si="10" ref="F4:F13">E4*1.688</f>
        <v>0</v>
      </c>
      <c r="G4" s="6">
        <v>10000</v>
      </c>
      <c r="H4" s="38"/>
      <c r="I4" s="7">
        <f t="shared" si="1"/>
        <v>0</v>
      </c>
      <c r="J4" s="6">
        <v>10000</v>
      </c>
      <c r="K4" s="51"/>
      <c r="L4" s="7">
        <f t="shared" si="2"/>
        <v>0</v>
      </c>
      <c r="M4" s="6">
        <v>10000</v>
      </c>
      <c r="N4" s="51"/>
      <c r="O4" s="7">
        <f t="shared" si="3"/>
        <v>0</v>
      </c>
      <c r="P4" s="6">
        <v>10000</v>
      </c>
      <c r="Q4" s="51"/>
      <c r="R4" s="7">
        <f t="shared" si="4"/>
        <v>0</v>
      </c>
      <c r="S4" s="6">
        <v>10000</v>
      </c>
      <c r="T4" s="51"/>
      <c r="U4" s="7">
        <f>T4*1.688</f>
        <v>0</v>
      </c>
      <c r="V4" s="6">
        <v>10000</v>
      </c>
      <c r="W4" s="51"/>
      <c r="X4" s="7">
        <f>W4*1.688</f>
        <v>0</v>
      </c>
      <c r="Y4" s="115">
        <v>9400</v>
      </c>
      <c r="Z4" s="54"/>
      <c r="AA4" s="7">
        <f>Z4*1.688</f>
        <v>0</v>
      </c>
      <c r="AB4" s="116">
        <v>4100</v>
      </c>
      <c r="AC4" s="112"/>
      <c r="AD4" s="7">
        <f>AC4*1.688</f>
        <v>0</v>
      </c>
      <c r="AF4" s="6">
        <v>10000</v>
      </c>
      <c r="AG4" s="7">
        <f t="shared" si="5"/>
        <v>166</v>
      </c>
      <c r="AH4" s="7">
        <f t="shared" si="6"/>
        <v>280.20799999999997</v>
      </c>
      <c r="AI4" s="6">
        <v>10000</v>
      </c>
      <c r="AJ4" s="111">
        <v>176</v>
      </c>
      <c r="AK4" s="7">
        <f t="shared" si="7"/>
        <v>297.08799999999997</v>
      </c>
      <c r="AL4" s="6">
        <v>10000</v>
      </c>
      <c r="AM4" s="78"/>
      <c r="AN4" s="7">
        <f t="shared" si="8"/>
        <v>0</v>
      </c>
      <c r="AO4" s="6">
        <v>10000</v>
      </c>
      <c r="AP4" s="78"/>
      <c r="AQ4" s="7">
        <f t="shared" si="9"/>
        <v>0</v>
      </c>
      <c r="AR4" s="6"/>
      <c r="AS4" s="6">
        <v>10000</v>
      </c>
      <c r="AT4" s="33"/>
      <c r="AU4" s="7"/>
    </row>
    <row r="5" spans="1:47" ht="12.75">
      <c r="A5" s="6">
        <v>20000</v>
      </c>
      <c r="B5" s="111">
        <v>210</v>
      </c>
      <c r="C5" s="7">
        <f t="shared" si="0"/>
        <v>354.47999999999996</v>
      </c>
      <c r="D5" s="6">
        <v>20000</v>
      </c>
      <c r="E5" s="52"/>
      <c r="F5" s="7">
        <f t="shared" si="10"/>
        <v>0</v>
      </c>
      <c r="G5" s="6">
        <v>20000</v>
      </c>
      <c r="H5" s="52"/>
      <c r="I5" s="7">
        <f t="shared" si="1"/>
        <v>0</v>
      </c>
      <c r="J5" s="6">
        <v>20000</v>
      </c>
      <c r="K5" s="52"/>
      <c r="L5" s="7">
        <f t="shared" si="2"/>
        <v>0</v>
      </c>
      <c r="M5" s="6">
        <v>20000</v>
      </c>
      <c r="N5" s="52"/>
      <c r="O5" s="7">
        <f t="shared" si="3"/>
        <v>0</v>
      </c>
      <c r="P5" s="6">
        <v>20000</v>
      </c>
      <c r="Q5" s="52"/>
      <c r="R5" s="7">
        <f t="shared" si="4"/>
        <v>0</v>
      </c>
      <c r="S5" s="6">
        <v>17500</v>
      </c>
      <c r="T5" s="54"/>
      <c r="U5" s="7">
        <f>T5*1.688</f>
        <v>0</v>
      </c>
      <c r="V5" s="6">
        <v>13200</v>
      </c>
      <c r="W5" s="54"/>
      <c r="X5" s="7">
        <f>W5*1.688</f>
        <v>0</v>
      </c>
      <c r="Y5" s="8">
        <v>0</v>
      </c>
      <c r="Z5" s="51"/>
      <c r="AA5" s="7">
        <f>Z5*1.688</f>
        <v>0</v>
      </c>
      <c r="AB5" s="8">
        <v>0</v>
      </c>
      <c r="AC5" s="56"/>
      <c r="AD5" s="7">
        <f>AC5*1.688</f>
        <v>0</v>
      </c>
      <c r="AF5" s="6">
        <v>20000</v>
      </c>
      <c r="AG5" s="7">
        <f t="shared" si="5"/>
        <v>200</v>
      </c>
      <c r="AH5" s="7">
        <f t="shared" si="6"/>
        <v>337.59999999999997</v>
      </c>
      <c r="AI5" s="6">
        <v>20000</v>
      </c>
      <c r="AJ5" s="111">
        <v>210</v>
      </c>
      <c r="AK5" s="7">
        <f t="shared" si="7"/>
        <v>354.47999999999996</v>
      </c>
      <c r="AL5" s="6">
        <v>20000</v>
      </c>
      <c r="AM5" s="78"/>
      <c r="AN5" s="7">
        <f t="shared" si="8"/>
        <v>0</v>
      </c>
      <c r="AO5" s="6">
        <v>20000</v>
      </c>
      <c r="AP5" s="78"/>
      <c r="AQ5" s="7">
        <f t="shared" si="9"/>
        <v>0</v>
      </c>
      <c r="AR5" s="6"/>
      <c r="AS5" s="6">
        <v>20000</v>
      </c>
      <c r="AT5" s="33"/>
      <c r="AU5" s="7"/>
    </row>
    <row r="6" spans="1:47" ht="12.75">
      <c r="A6" s="21">
        <v>30000</v>
      </c>
      <c r="B6" s="111">
        <v>254</v>
      </c>
      <c r="C6" s="7">
        <f t="shared" si="0"/>
        <v>428.752</v>
      </c>
      <c r="D6" s="21">
        <v>30000</v>
      </c>
      <c r="E6" s="38"/>
      <c r="F6" s="7">
        <f t="shared" si="10"/>
        <v>0</v>
      </c>
      <c r="G6" s="21">
        <v>30000</v>
      </c>
      <c r="H6" s="38"/>
      <c r="I6" s="7">
        <f t="shared" si="1"/>
        <v>0</v>
      </c>
      <c r="J6" s="21">
        <v>30000</v>
      </c>
      <c r="K6" s="51"/>
      <c r="L6" s="7">
        <f t="shared" si="2"/>
        <v>0</v>
      </c>
      <c r="M6" s="21">
        <v>27000</v>
      </c>
      <c r="N6" s="54"/>
      <c r="O6" s="7">
        <f t="shared" si="3"/>
        <v>0</v>
      </c>
      <c r="P6" s="21">
        <v>21000</v>
      </c>
      <c r="Q6" s="54"/>
      <c r="R6" s="7">
        <f t="shared" si="4"/>
        <v>0</v>
      </c>
      <c r="S6" s="6">
        <v>10000</v>
      </c>
      <c r="T6" s="51"/>
      <c r="U6" s="7">
        <f>T6*1.688</f>
        <v>0</v>
      </c>
      <c r="V6" s="6">
        <v>10000</v>
      </c>
      <c r="W6" s="51"/>
      <c r="X6" s="7">
        <f>W6*1.688</f>
        <v>0</v>
      </c>
      <c r="Y6" s="6"/>
      <c r="Z6" s="51"/>
      <c r="AA6" s="7"/>
      <c r="AB6" s="6"/>
      <c r="AC6" s="7"/>
      <c r="AD6" s="7"/>
      <c r="AF6" s="21">
        <v>30000</v>
      </c>
      <c r="AG6" s="7">
        <f t="shared" si="5"/>
        <v>244</v>
      </c>
      <c r="AH6" s="7">
        <f t="shared" si="6"/>
        <v>411.872</v>
      </c>
      <c r="AI6" s="21">
        <v>30000</v>
      </c>
      <c r="AJ6" s="111">
        <v>254</v>
      </c>
      <c r="AK6" s="7">
        <f t="shared" si="7"/>
        <v>428.752</v>
      </c>
      <c r="AL6" s="21">
        <v>30000</v>
      </c>
      <c r="AM6" s="78"/>
      <c r="AN6" s="7">
        <f t="shared" si="8"/>
        <v>0</v>
      </c>
      <c r="AO6" s="21">
        <v>30000</v>
      </c>
      <c r="AP6" s="78"/>
      <c r="AQ6" s="7">
        <f t="shared" si="9"/>
        <v>0</v>
      </c>
      <c r="AR6" s="21"/>
      <c r="AS6" s="21">
        <v>30000</v>
      </c>
      <c r="AT6" s="33"/>
      <c r="AU6" s="7"/>
    </row>
    <row r="7" spans="1:47" ht="12.75">
      <c r="A7" s="13">
        <v>40000</v>
      </c>
      <c r="B7" s="112">
        <v>316</v>
      </c>
      <c r="C7" s="7">
        <f t="shared" si="0"/>
        <v>533.408</v>
      </c>
      <c r="D7" s="13">
        <v>40000</v>
      </c>
      <c r="E7" s="52"/>
      <c r="F7" s="7">
        <f t="shared" si="10"/>
        <v>0</v>
      </c>
      <c r="G7" s="13">
        <v>38500</v>
      </c>
      <c r="H7" s="112"/>
      <c r="I7" s="7">
        <f t="shared" si="1"/>
        <v>0</v>
      </c>
      <c r="J7" s="13">
        <v>32000</v>
      </c>
      <c r="K7" s="54"/>
      <c r="L7" s="7">
        <f t="shared" si="2"/>
        <v>0</v>
      </c>
      <c r="M7" s="13">
        <v>20000</v>
      </c>
      <c r="N7" s="33"/>
      <c r="O7" s="7">
        <f t="shared" si="3"/>
        <v>0</v>
      </c>
      <c r="P7" s="13">
        <v>20000</v>
      </c>
      <c r="Q7" s="33"/>
      <c r="R7" s="7">
        <f t="shared" si="4"/>
        <v>0</v>
      </c>
      <c r="S7" s="8">
        <v>0</v>
      </c>
      <c r="T7" s="54"/>
      <c r="U7" s="7">
        <f>T7*1.688</f>
        <v>0</v>
      </c>
      <c r="V7" s="8">
        <v>0</v>
      </c>
      <c r="W7" s="54"/>
      <c r="X7" s="7">
        <f>W7*1.688</f>
        <v>0</v>
      </c>
      <c r="Y7" s="6"/>
      <c r="Z7" s="51"/>
      <c r="AA7" s="7"/>
      <c r="AB7" s="6"/>
      <c r="AC7" s="7"/>
      <c r="AD7" s="7"/>
      <c r="AF7" s="13">
        <v>40000</v>
      </c>
      <c r="AG7" s="7">
        <f t="shared" si="5"/>
        <v>306</v>
      </c>
      <c r="AH7" s="7">
        <f t="shared" si="6"/>
        <v>516.528</v>
      </c>
      <c r="AI7" s="13">
        <v>40000</v>
      </c>
      <c r="AJ7" s="112">
        <v>316</v>
      </c>
      <c r="AK7" s="7">
        <f t="shared" si="7"/>
        <v>533.408</v>
      </c>
      <c r="AL7" s="13">
        <v>40000</v>
      </c>
      <c r="AM7" s="78"/>
      <c r="AN7" s="7">
        <f t="shared" si="8"/>
        <v>0</v>
      </c>
      <c r="AO7" s="13">
        <v>38500</v>
      </c>
      <c r="AP7" s="78"/>
      <c r="AQ7" s="7">
        <f t="shared" si="9"/>
        <v>0</v>
      </c>
      <c r="AR7" s="13"/>
      <c r="AS7" s="13">
        <v>40000</v>
      </c>
      <c r="AT7" s="52"/>
      <c r="AU7" s="7"/>
    </row>
    <row r="8" spans="1:47" ht="12.75">
      <c r="A8" s="13">
        <v>50000</v>
      </c>
      <c r="B8" s="111">
        <v>405</v>
      </c>
      <c r="C8" s="7">
        <f t="shared" si="0"/>
        <v>683.64</v>
      </c>
      <c r="D8" s="13">
        <v>48000</v>
      </c>
      <c r="E8" s="54"/>
      <c r="F8" s="7">
        <f t="shared" si="10"/>
        <v>0</v>
      </c>
      <c r="G8" s="13">
        <v>40000</v>
      </c>
      <c r="H8" s="52"/>
      <c r="I8" s="7">
        <f t="shared" si="1"/>
        <v>0</v>
      </c>
      <c r="J8" s="13">
        <v>30000</v>
      </c>
      <c r="K8" s="38"/>
      <c r="L8" s="7">
        <f t="shared" si="2"/>
        <v>0</v>
      </c>
      <c r="M8" s="13">
        <v>10000</v>
      </c>
      <c r="N8" s="52"/>
      <c r="O8" s="7">
        <f t="shared" si="3"/>
        <v>0</v>
      </c>
      <c r="P8" s="13">
        <v>10000</v>
      </c>
      <c r="Q8" s="52"/>
      <c r="R8" s="7">
        <f t="shared" si="4"/>
        <v>0</v>
      </c>
      <c r="S8" s="6"/>
      <c r="T8" s="51"/>
      <c r="U8" s="7"/>
      <c r="V8" s="6"/>
      <c r="W8" s="51"/>
      <c r="X8" s="7"/>
      <c r="Y8" s="6"/>
      <c r="Z8" s="51"/>
      <c r="AA8" s="7"/>
      <c r="AB8" s="13"/>
      <c r="AC8" s="33"/>
      <c r="AD8" s="7"/>
      <c r="AF8" s="13">
        <v>50000</v>
      </c>
      <c r="AG8" s="7">
        <f t="shared" si="5"/>
        <v>395</v>
      </c>
      <c r="AH8" s="7">
        <f t="shared" si="6"/>
        <v>666.76</v>
      </c>
      <c r="AI8" s="13">
        <v>50000</v>
      </c>
      <c r="AJ8" s="111">
        <v>405</v>
      </c>
      <c r="AK8" s="7">
        <f t="shared" si="7"/>
        <v>683.64</v>
      </c>
      <c r="AL8" s="13">
        <v>48000</v>
      </c>
      <c r="AM8" s="112"/>
      <c r="AN8" s="7">
        <f t="shared" si="8"/>
        <v>0</v>
      </c>
      <c r="AO8" s="13">
        <v>40000</v>
      </c>
      <c r="AP8" s="78"/>
      <c r="AQ8" s="7">
        <f t="shared" si="9"/>
        <v>0</v>
      </c>
      <c r="AR8" s="13"/>
      <c r="AS8" s="13">
        <v>50000</v>
      </c>
      <c r="AT8" s="111"/>
      <c r="AU8" s="7"/>
    </row>
    <row r="9" spans="1:47" ht="12.75">
      <c r="A9" s="13">
        <v>52000</v>
      </c>
      <c r="B9" s="55">
        <f>((B10-B8)/2)+B8</f>
        <v>665</v>
      </c>
      <c r="C9" s="7">
        <f t="shared" si="0"/>
        <v>1122.52</v>
      </c>
      <c r="D9" s="13">
        <v>40000</v>
      </c>
      <c r="E9" s="33"/>
      <c r="F9" s="7">
        <f t="shared" si="10"/>
        <v>0</v>
      </c>
      <c r="G9" s="13">
        <v>30000</v>
      </c>
      <c r="H9" s="33"/>
      <c r="I9" s="7">
        <f t="shared" si="1"/>
        <v>0</v>
      </c>
      <c r="J9" s="13">
        <v>20000</v>
      </c>
      <c r="K9" s="51"/>
      <c r="L9" s="7">
        <f t="shared" si="2"/>
        <v>0</v>
      </c>
      <c r="M9" s="100">
        <v>0</v>
      </c>
      <c r="N9" s="56"/>
      <c r="O9" s="7">
        <f t="shared" si="3"/>
        <v>0</v>
      </c>
      <c r="P9" s="100">
        <v>0</v>
      </c>
      <c r="Q9" s="56"/>
      <c r="R9" s="7">
        <f t="shared" si="4"/>
        <v>0</v>
      </c>
      <c r="S9" s="21"/>
      <c r="T9" s="51"/>
      <c r="U9" s="7"/>
      <c r="V9" s="21"/>
      <c r="W9" s="51"/>
      <c r="X9" s="7"/>
      <c r="Y9" s="21"/>
      <c r="Z9" s="2"/>
      <c r="AA9" s="7"/>
      <c r="AB9" s="20"/>
      <c r="AC9" s="33"/>
      <c r="AD9" s="7"/>
      <c r="AF9" s="13">
        <v>52000</v>
      </c>
      <c r="AG9" s="7">
        <f>B9</f>
        <v>665</v>
      </c>
      <c r="AH9" s="7">
        <f t="shared" si="6"/>
        <v>1122.52</v>
      </c>
      <c r="AI9" s="13">
        <v>52000</v>
      </c>
      <c r="AJ9" s="55">
        <f>((AJ10-AJ8)/2)+AJ8</f>
        <v>665</v>
      </c>
      <c r="AK9" s="7">
        <f aca="true" t="shared" si="11" ref="AK9:AK16">AJ9*1.688</f>
        <v>1122.52</v>
      </c>
      <c r="AL9" s="13">
        <v>40000</v>
      </c>
      <c r="AM9" s="78"/>
      <c r="AN9" s="7">
        <f t="shared" si="8"/>
        <v>0</v>
      </c>
      <c r="AO9" s="13">
        <v>30000</v>
      </c>
      <c r="AP9" s="78"/>
      <c r="AQ9" s="7">
        <f t="shared" si="9"/>
        <v>0</v>
      </c>
      <c r="AR9" s="13"/>
      <c r="AS9" s="13">
        <v>60000</v>
      </c>
      <c r="AT9" s="111"/>
      <c r="AU9" s="7"/>
    </row>
    <row r="10" spans="1:47" ht="12.75">
      <c r="A10" s="20">
        <v>50000</v>
      </c>
      <c r="B10" s="33">
        <v>925</v>
      </c>
      <c r="C10" s="7">
        <f t="shared" si="0"/>
        <v>1561.3999999999999</v>
      </c>
      <c r="D10" s="13">
        <v>30000</v>
      </c>
      <c r="E10" s="33"/>
      <c r="F10" s="7">
        <f t="shared" si="10"/>
        <v>0</v>
      </c>
      <c r="G10" s="13">
        <v>20000</v>
      </c>
      <c r="H10" s="33"/>
      <c r="I10" s="7">
        <f t="shared" si="1"/>
        <v>0</v>
      </c>
      <c r="J10" s="13">
        <v>10000</v>
      </c>
      <c r="K10" s="51"/>
      <c r="L10" s="7">
        <f t="shared" si="2"/>
        <v>0</v>
      </c>
      <c r="N10" s="51"/>
      <c r="O10" s="7"/>
      <c r="P10" s="13"/>
      <c r="Q10" s="51"/>
      <c r="R10" s="7"/>
      <c r="S10" s="13"/>
      <c r="T10" s="51"/>
      <c r="U10" s="7"/>
      <c r="V10" s="21"/>
      <c r="W10" s="2"/>
      <c r="X10" s="7"/>
      <c r="Y10" s="20"/>
      <c r="Z10" s="33"/>
      <c r="AA10" s="7"/>
      <c r="AB10" s="13"/>
      <c r="AC10" s="33"/>
      <c r="AD10" s="7"/>
      <c r="AF10" s="20">
        <v>50000</v>
      </c>
      <c r="AG10" s="7">
        <f>B10+10</f>
        <v>935</v>
      </c>
      <c r="AH10" s="7">
        <f t="shared" si="6"/>
        <v>1578.28</v>
      </c>
      <c r="AI10" s="20">
        <v>50000</v>
      </c>
      <c r="AJ10" s="33">
        <v>925</v>
      </c>
      <c r="AK10" s="7">
        <f t="shared" si="11"/>
        <v>1561.3999999999999</v>
      </c>
      <c r="AL10" s="13">
        <v>30000</v>
      </c>
      <c r="AM10" s="78"/>
      <c r="AN10" s="7">
        <f t="shared" si="8"/>
        <v>0</v>
      </c>
      <c r="AO10" s="13">
        <v>20000</v>
      </c>
      <c r="AP10" s="78"/>
      <c r="AQ10" s="7">
        <f t="shared" si="9"/>
        <v>0</v>
      </c>
      <c r="AR10" s="13"/>
      <c r="AS10" s="13">
        <v>62000</v>
      </c>
      <c r="AT10" s="55"/>
      <c r="AU10" s="7"/>
    </row>
    <row r="11" spans="1:47" ht="12.75">
      <c r="A11" s="13">
        <v>40000</v>
      </c>
      <c r="B11" s="33">
        <v>927</v>
      </c>
      <c r="C11" s="7">
        <f t="shared" si="0"/>
        <v>1564.7759999999998</v>
      </c>
      <c r="D11" s="13">
        <v>20000</v>
      </c>
      <c r="E11" s="33"/>
      <c r="F11" s="7">
        <f t="shared" si="10"/>
        <v>0</v>
      </c>
      <c r="G11" s="13">
        <v>10000</v>
      </c>
      <c r="H11" s="33"/>
      <c r="I11" s="7">
        <f t="shared" si="1"/>
        <v>0</v>
      </c>
      <c r="J11" s="100">
        <v>0</v>
      </c>
      <c r="K11" s="56"/>
      <c r="L11" s="7">
        <f t="shared" si="2"/>
        <v>0</v>
      </c>
      <c r="N11" s="51"/>
      <c r="O11" s="7"/>
      <c r="P11" s="21"/>
      <c r="Q11" s="2"/>
      <c r="R11" s="7"/>
      <c r="S11" s="20"/>
      <c r="T11" s="33"/>
      <c r="U11" s="7"/>
      <c r="V11" s="21"/>
      <c r="W11" s="33"/>
      <c r="X11" s="7"/>
      <c r="Y11" s="13"/>
      <c r="Z11" s="33"/>
      <c r="AA11" s="7"/>
      <c r="AB11" s="20"/>
      <c r="AC11" s="33"/>
      <c r="AD11" s="7"/>
      <c r="AF11" s="13">
        <v>40000</v>
      </c>
      <c r="AG11" s="7">
        <f aca="true" t="shared" si="12" ref="AG11:AG16">B11+10</f>
        <v>937</v>
      </c>
      <c r="AH11" s="7">
        <f t="shared" si="6"/>
        <v>1581.656</v>
      </c>
      <c r="AI11" s="13">
        <v>40000</v>
      </c>
      <c r="AJ11" s="33">
        <v>927</v>
      </c>
      <c r="AK11" s="7">
        <f t="shared" si="11"/>
        <v>1564.7759999999998</v>
      </c>
      <c r="AL11" s="13">
        <v>20000</v>
      </c>
      <c r="AM11" s="78"/>
      <c r="AN11" s="7">
        <f t="shared" si="8"/>
        <v>0</v>
      </c>
      <c r="AO11" s="13">
        <v>10000</v>
      </c>
      <c r="AP11" s="78"/>
      <c r="AQ11" s="7">
        <f t="shared" si="9"/>
        <v>0</v>
      </c>
      <c r="AR11" s="100"/>
      <c r="AS11" s="13">
        <v>60000</v>
      </c>
      <c r="AT11" s="52"/>
      <c r="AU11" s="7"/>
    </row>
    <row r="12" spans="1:47" ht="12.75">
      <c r="A12" s="20">
        <v>36000</v>
      </c>
      <c r="B12" s="33">
        <v>928</v>
      </c>
      <c r="C12" s="7">
        <f t="shared" si="0"/>
        <v>1566.464</v>
      </c>
      <c r="D12" s="13">
        <v>10000</v>
      </c>
      <c r="E12" s="33"/>
      <c r="F12" s="7">
        <f t="shared" si="10"/>
        <v>0</v>
      </c>
      <c r="G12" s="100">
        <v>0</v>
      </c>
      <c r="H12" s="55"/>
      <c r="I12" s="7">
        <f t="shared" si="1"/>
        <v>0</v>
      </c>
      <c r="J12" s="20"/>
      <c r="K12" s="38"/>
      <c r="L12" s="7"/>
      <c r="M12" s="20"/>
      <c r="N12" s="2"/>
      <c r="O12" s="7"/>
      <c r="P12" s="20"/>
      <c r="Q12" s="33"/>
      <c r="R12" s="7"/>
      <c r="S12" s="13"/>
      <c r="T12" s="33"/>
      <c r="U12" s="7"/>
      <c r="V12" s="20"/>
      <c r="W12" s="33"/>
      <c r="X12" s="7"/>
      <c r="Y12" s="20"/>
      <c r="Z12" s="33"/>
      <c r="AA12" s="7"/>
      <c r="AB12" s="100"/>
      <c r="AD12" s="7"/>
      <c r="AF12" s="20">
        <v>36000</v>
      </c>
      <c r="AG12" s="7">
        <f t="shared" si="12"/>
        <v>938</v>
      </c>
      <c r="AH12" s="7">
        <f t="shared" si="6"/>
        <v>1583.344</v>
      </c>
      <c r="AI12" s="20">
        <v>36000</v>
      </c>
      <c r="AJ12" s="33">
        <v>928</v>
      </c>
      <c r="AK12" s="7">
        <f t="shared" si="11"/>
        <v>1566.464</v>
      </c>
      <c r="AL12" s="13">
        <v>10000</v>
      </c>
      <c r="AM12" s="78"/>
      <c r="AN12" s="7">
        <f t="shared" si="8"/>
        <v>0</v>
      </c>
      <c r="AO12" s="100">
        <v>0</v>
      </c>
      <c r="AP12" s="78"/>
      <c r="AQ12" s="7">
        <f t="shared" si="9"/>
        <v>0</v>
      </c>
      <c r="AR12" s="13"/>
      <c r="AS12" s="20">
        <v>50000</v>
      </c>
      <c r="AT12" s="33"/>
      <c r="AU12" s="7"/>
    </row>
    <row r="13" spans="1:47" ht="12.75">
      <c r="A13" s="13">
        <v>28600</v>
      </c>
      <c r="B13" s="33">
        <v>958</v>
      </c>
      <c r="C13" s="7">
        <f t="shared" si="0"/>
        <v>1617.104</v>
      </c>
      <c r="D13" s="100">
        <v>0</v>
      </c>
      <c r="E13" s="55"/>
      <c r="F13" s="7">
        <f t="shared" si="10"/>
        <v>0</v>
      </c>
      <c r="G13" s="113"/>
      <c r="H13" s="55"/>
      <c r="I13" s="56"/>
      <c r="J13" s="13"/>
      <c r="K13" s="2"/>
      <c r="L13" s="7"/>
      <c r="M13" s="13"/>
      <c r="N13" s="33"/>
      <c r="O13" s="7"/>
      <c r="P13" s="13"/>
      <c r="Q13" s="33"/>
      <c r="R13" s="7"/>
      <c r="S13" s="20"/>
      <c r="T13" s="33"/>
      <c r="U13" s="7"/>
      <c r="V13" s="13"/>
      <c r="W13" s="33"/>
      <c r="X13" s="7"/>
      <c r="Y13" s="13"/>
      <c r="Z13" s="33"/>
      <c r="AA13" s="7"/>
      <c r="AF13" s="13">
        <v>28600</v>
      </c>
      <c r="AG13" s="7">
        <f t="shared" si="12"/>
        <v>968</v>
      </c>
      <c r="AH13" s="7">
        <f t="shared" si="6"/>
        <v>1633.984</v>
      </c>
      <c r="AI13" s="13">
        <v>28600</v>
      </c>
      <c r="AJ13" s="33">
        <v>958</v>
      </c>
      <c r="AK13" s="7">
        <f t="shared" si="11"/>
        <v>1617.104</v>
      </c>
      <c r="AL13" s="100">
        <v>0</v>
      </c>
      <c r="AM13" s="78"/>
      <c r="AN13" s="7">
        <f t="shared" si="8"/>
        <v>0</v>
      </c>
      <c r="AO13" s="13"/>
      <c r="AQ13" s="7"/>
      <c r="AR13" s="20"/>
      <c r="AS13" s="20">
        <v>45000</v>
      </c>
      <c r="AT13" s="33"/>
      <c r="AU13" s="7"/>
    </row>
    <row r="14" spans="1:47" ht="12.75">
      <c r="A14" s="13">
        <v>20000</v>
      </c>
      <c r="B14" s="33">
        <v>877</v>
      </c>
      <c r="C14" s="7">
        <f t="shared" si="0"/>
        <v>1480.376</v>
      </c>
      <c r="D14" s="55"/>
      <c r="E14" s="55"/>
      <c r="F14" s="56"/>
      <c r="G14" s="55"/>
      <c r="H14" s="55"/>
      <c r="I14" s="55"/>
      <c r="J14" s="20"/>
      <c r="K14" s="33"/>
      <c r="L14" s="7"/>
      <c r="M14" s="20"/>
      <c r="N14" s="33"/>
      <c r="O14" s="7"/>
      <c r="P14" s="20"/>
      <c r="Q14" s="33"/>
      <c r="R14" s="7"/>
      <c r="S14" s="13"/>
      <c r="T14" s="33"/>
      <c r="U14" s="7"/>
      <c r="V14" s="20"/>
      <c r="W14" s="33"/>
      <c r="X14" s="7"/>
      <c r="Y14" s="20"/>
      <c r="Z14" s="33"/>
      <c r="AA14" s="7"/>
      <c r="AF14" s="13">
        <v>20000</v>
      </c>
      <c r="AG14" s="7">
        <f t="shared" si="12"/>
        <v>887</v>
      </c>
      <c r="AH14" s="7">
        <f t="shared" si="6"/>
        <v>1497.2559999999999</v>
      </c>
      <c r="AI14" s="13">
        <v>20000</v>
      </c>
      <c r="AJ14" s="33">
        <v>877</v>
      </c>
      <c r="AK14" s="7">
        <f t="shared" si="11"/>
        <v>1480.376</v>
      </c>
      <c r="AL14" s="20"/>
      <c r="AN14" s="7"/>
      <c r="AO14" s="13"/>
      <c r="AQ14" s="7"/>
      <c r="AR14" s="20"/>
      <c r="AS14" s="13">
        <v>40000</v>
      </c>
      <c r="AT14" s="33"/>
      <c r="AU14" s="7"/>
    </row>
    <row r="15" spans="1:47" ht="12.75">
      <c r="A15" s="13">
        <v>10000</v>
      </c>
      <c r="B15" s="33">
        <v>790</v>
      </c>
      <c r="C15" s="7">
        <f t="shared" si="0"/>
        <v>1333.52</v>
      </c>
      <c r="D15" s="55"/>
      <c r="E15" s="55"/>
      <c r="F15" s="56"/>
      <c r="G15" s="55"/>
      <c r="H15" s="55"/>
      <c r="I15" s="55"/>
      <c r="K15" s="33"/>
      <c r="L15" s="7"/>
      <c r="M15" s="13"/>
      <c r="N15" s="33"/>
      <c r="O15" s="7"/>
      <c r="P15" s="13"/>
      <c r="Q15" s="33"/>
      <c r="R15" s="7"/>
      <c r="S15" s="20"/>
      <c r="T15" s="33"/>
      <c r="U15" s="7"/>
      <c r="V15" s="13"/>
      <c r="W15" s="33"/>
      <c r="X15" s="7"/>
      <c r="Y15" s="100"/>
      <c r="AA15" s="7"/>
      <c r="AF15" s="13">
        <v>10000</v>
      </c>
      <c r="AG15" s="7">
        <f t="shared" si="12"/>
        <v>800</v>
      </c>
      <c r="AH15" s="7">
        <f t="shared" si="6"/>
        <v>1350.3999999999999</v>
      </c>
      <c r="AI15" s="13">
        <v>10000</v>
      </c>
      <c r="AJ15" s="33">
        <v>790</v>
      </c>
      <c r="AK15" s="7">
        <f t="shared" si="11"/>
        <v>1333.52</v>
      </c>
      <c r="AL15" s="13"/>
      <c r="AM15" s="8"/>
      <c r="AN15" s="7"/>
      <c r="AO15" s="20"/>
      <c r="AQ15" s="7"/>
      <c r="AR15" s="13"/>
      <c r="AS15" s="20">
        <v>34000</v>
      </c>
      <c r="AT15" s="33"/>
      <c r="AU15" s="7"/>
    </row>
    <row r="16" spans="1:47" ht="12.75">
      <c r="A16" s="100">
        <v>0</v>
      </c>
      <c r="B16" s="55">
        <v>710</v>
      </c>
      <c r="C16" s="7">
        <f t="shared" si="0"/>
        <v>1198.48</v>
      </c>
      <c r="D16" s="55"/>
      <c r="E16" s="55"/>
      <c r="F16" s="56"/>
      <c r="G16" s="55"/>
      <c r="H16" s="55"/>
      <c r="I16" s="55"/>
      <c r="K16" s="33"/>
      <c r="L16" s="7"/>
      <c r="M16" s="20"/>
      <c r="N16" s="33"/>
      <c r="O16" s="7"/>
      <c r="P16" s="20"/>
      <c r="Q16" s="33"/>
      <c r="R16" s="7"/>
      <c r="S16" s="13"/>
      <c r="T16" s="33"/>
      <c r="U16" s="7"/>
      <c r="V16" s="20"/>
      <c r="W16" s="33"/>
      <c r="X16" s="7"/>
      <c r="AF16" s="100">
        <v>0</v>
      </c>
      <c r="AG16" s="7">
        <f t="shared" si="12"/>
        <v>720</v>
      </c>
      <c r="AH16" s="7">
        <f t="shared" si="6"/>
        <v>1215.36</v>
      </c>
      <c r="AI16" s="100">
        <v>0</v>
      </c>
      <c r="AJ16" s="55">
        <v>710</v>
      </c>
      <c r="AK16" s="7">
        <f t="shared" si="11"/>
        <v>1198.48</v>
      </c>
      <c r="AL16" s="20"/>
      <c r="AN16" s="7"/>
      <c r="AO16" s="13"/>
      <c r="AQ16" s="7"/>
      <c r="AR16" s="20"/>
      <c r="AS16" s="13">
        <v>30000</v>
      </c>
      <c r="AT16" s="33"/>
      <c r="AU16" s="7"/>
    </row>
    <row r="17" spans="4:47" ht="12.75">
      <c r="D17" s="55"/>
      <c r="E17" s="55"/>
      <c r="F17" s="56"/>
      <c r="G17" s="55"/>
      <c r="H17" s="55"/>
      <c r="I17" s="55"/>
      <c r="K17" s="33"/>
      <c r="L17" s="7"/>
      <c r="M17" s="13"/>
      <c r="N17" s="33"/>
      <c r="O17" s="7"/>
      <c r="P17" s="13"/>
      <c r="Q17" s="33"/>
      <c r="R17" s="7"/>
      <c r="S17" s="20"/>
      <c r="T17" s="33"/>
      <c r="U17" s="7"/>
      <c r="V17" s="100"/>
      <c r="X17" s="7"/>
      <c r="AF17" s="13"/>
      <c r="AG17" s="7"/>
      <c r="AH17" s="7"/>
      <c r="AI17" s="13"/>
      <c r="AJ17" s="78"/>
      <c r="AK17" s="7"/>
      <c r="AL17" s="13"/>
      <c r="AN17" s="7"/>
      <c r="AO17" s="20"/>
      <c r="AQ17" s="7"/>
      <c r="AR17" s="13"/>
      <c r="AS17" s="13">
        <v>20000</v>
      </c>
      <c r="AT17" s="33"/>
      <c r="AU17" s="7"/>
    </row>
    <row r="18" spans="4:47" ht="12.75">
      <c r="D18" s="55"/>
      <c r="E18" s="55"/>
      <c r="F18" s="55"/>
      <c r="G18" s="114"/>
      <c r="H18" s="55"/>
      <c r="I18" s="56"/>
      <c r="L18" s="7"/>
      <c r="M18" s="20"/>
      <c r="N18" s="33"/>
      <c r="O18" s="7"/>
      <c r="P18" s="20"/>
      <c r="Q18" s="33"/>
      <c r="R18" s="7"/>
      <c r="S18" s="100"/>
      <c r="U18" s="7"/>
      <c r="AF18" s="13"/>
      <c r="AG18" s="7"/>
      <c r="AH18" s="7"/>
      <c r="AI18" s="13"/>
      <c r="AJ18" s="78"/>
      <c r="AK18" s="7"/>
      <c r="AL18" s="20"/>
      <c r="AN18" s="7"/>
      <c r="AO18" s="13"/>
      <c r="AQ18" s="7"/>
      <c r="AR18" s="20"/>
      <c r="AS18" s="13">
        <v>10000</v>
      </c>
      <c r="AT18" s="33"/>
      <c r="AU18" s="7"/>
    </row>
    <row r="19" spans="4:47" ht="12.75">
      <c r="D19" s="55"/>
      <c r="E19" s="55"/>
      <c r="F19" s="56"/>
      <c r="G19" s="55"/>
      <c r="H19" s="55"/>
      <c r="I19" s="56"/>
      <c r="L19" s="7"/>
      <c r="M19" s="13"/>
      <c r="N19" s="33"/>
      <c r="O19" s="7"/>
      <c r="P19" s="100"/>
      <c r="R19" s="7"/>
      <c r="AF19" s="100"/>
      <c r="AG19" s="7"/>
      <c r="AH19" s="7"/>
      <c r="AI19" s="100"/>
      <c r="AJ19" s="78"/>
      <c r="AK19" s="7"/>
      <c r="AL19" s="13"/>
      <c r="AN19" s="7"/>
      <c r="AO19" s="20"/>
      <c r="AQ19" s="7"/>
      <c r="AR19" s="13"/>
      <c r="AS19" s="100">
        <v>0</v>
      </c>
      <c r="AT19" s="55"/>
      <c r="AU19" s="7"/>
    </row>
    <row r="20" spans="3:50" ht="12.75">
      <c r="C20" s="7"/>
      <c r="E20" s="33"/>
      <c r="F20" s="7"/>
      <c r="G20" s="55"/>
      <c r="H20" s="55"/>
      <c r="I20" s="56"/>
      <c r="L20" s="7"/>
      <c r="M20" s="20"/>
      <c r="N20" s="33"/>
      <c r="O20" s="7"/>
      <c r="V20" s="8"/>
      <c r="AF20" s="20"/>
      <c r="AG20" s="7"/>
      <c r="AH20" s="7"/>
      <c r="AI20" s="20"/>
      <c r="AK20" s="7"/>
      <c r="AL20" s="20"/>
      <c r="AN20" s="7"/>
      <c r="AO20" s="13"/>
      <c r="AQ20" s="7"/>
      <c r="AR20" s="20"/>
      <c r="AT20" s="7"/>
      <c r="AV20" s="20"/>
      <c r="AW20" s="33"/>
      <c r="AX20" s="7"/>
    </row>
    <row r="21" spans="4:50" ht="12.75">
      <c r="D21" s="13"/>
      <c r="E21" s="33"/>
      <c r="F21" s="7"/>
      <c r="G21" s="13"/>
      <c r="H21" s="33"/>
      <c r="I21" s="7"/>
      <c r="J21" s="13"/>
      <c r="K21" s="33"/>
      <c r="L21" s="7"/>
      <c r="M21" s="100"/>
      <c r="O21" s="7"/>
      <c r="U21" s="8"/>
      <c r="V21" s="22"/>
      <c r="W21" s="22"/>
      <c r="X21" s="8"/>
      <c r="AF21" s="13"/>
      <c r="AG21" s="7"/>
      <c r="AH21" s="7"/>
      <c r="AI21" s="13"/>
      <c r="AK21" s="7"/>
      <c r="AL21" s="13"/>
      <c r="AN21" s="7"/>
      <c r="AO21" s="20"/>
      <c r="AQ21" s="7"/>
      <c r="AR21" s="13"/>
      <c r="AT21" s="7"/>
      <c r="AV21" s="13"/>
      <c r="AW21" s="33"/>
      <c r="AX21" s="7"/>
    </row>
    <row r="22" spans="4:50" ht="12.75">
      <c r="D22" s="20"/>
      <c r="E22" s="33"/>
      <c r="F22" s="7"/>
      <c r="G22" s="20"/>
      <c r="H22" s="33"/>
      <c r="I22" s="7"/>
      <c r="J22" s="20"/>
      <c r="K22" s="33"/>
      <c r="L22" s="7"/>
      <c r="R22" s="11"/>
      <c r="U22" s="8"/>
      <c r="V22" s="8"/>
      <c r="W22" s="8"/>
      <c r="X22" s="22"/>
      <c r="AF22" t="s">
        <v>203</v>
      </c>
      <c r="AG22" s="7"/>
      <c r="AH22" s="7"/>
      <c r="AI22" s="20"/>
      <c r="AK22" s="7"/>
      <c r="AL22" s="20"/>
      <c r="AN22" s="7"/>
      <c r="AO22" s="13"/>
      <c r="AQ22" s="7"/>
      <c r="AR22" s="20"/>
      <c r="AT22" s="7"/>
      <c r="AV22" s="20"/>
      <c r="AW22" s="33"/>
      <c r="AX22" s="7"/>
    </row>
    <row r="23" spans="1:50" ht="12.75">
      <c r="A23" t="s">
        <v>937</v>
      </c>
      <c r="J23" s="100"/>
      <c r="K23" s="16" t="s">
        <v>794</v>
      </c>
      <c r="L23" s="7"/>
      <c r="O23" s="105"/>
      <c r="S23" s="55"/>
      <c r="U23" s="8"/>
      <c r="V23" s="7"/>
      <c r="W23" s="7"/>
      <c r="X23" s="8"/>
      <c r="AF23" t="s">
        <v>204</v>
      </c>
      <c r="AG23" s="7"/>
      <c r="AH23" s="7"/>
      <c r="AI23" s="13"/>
      <c r="AK23" s="7"/>
      <c r="AL23" s="13"/>
      <c r="AN23" s="7"/>
      <c r="AO23" s="20"/>
      <c r="AQ23" s="7"/>
      <c r="AR23" s="100"/>
      <c r="AT23" s="7"/>
      <c r="AV23" s="13"/>
      <c r="AW23" s="33"/>
      <c r="AX23" s="7"/>
    </row>
    <row r="24" spans="10:50" ht="12.75">
      <c r="J24" s="25"/>
      <c r="K24" s="33"/>
      <c r="L24" s="27"/>
      <c r="M24" s="8"/>
      <c r="N24" s="22"/>
      <c r="O24" s="22"/>
      <c r="R24" s="27"/>
      <c r="S24" s="55"/>
      <c r="U24" s="8"/>
      <c r="V24" s="7"/>
      <c r="W24" s="7"/>
      <c r="X24" s="7"/>
      <c r="AF24" t="s">
        <v>205</v>
      </c>
      <c r="AG24" s="7"/>
      <c r="AH24" s="7"/>
      <c r="AI24" s="20"/>
      <c r="AK24" s="7"/>
      <c r="AL24" s="20"/>
      <c r="AN24" s="7"/>
      <c r="AO24" s="100"/>
      <c r="AQ24" s="7"/>
      <c r="AV24" s="20"/>
      <c r="AW24" s="33"/>
      <c r="AX24" s="7"/>
    </row>
    <row r="25" spans="10:50" ht="12.75">
      <c r="J25" s="25"/>
      <c r="K25" s="33" t="s">
        <v>894</v>
      </c>
      <c r="L25" s="27"/>
      <c r="M25" s="8"/>
      <c r="N25" s="8"/>
      <c r="O25" s="8"/>
      <c r="R25" s="27"/>
      <c r="U25" s="8"/>
      <c r="V25" s="7"/>
      <c r="W25" s="7"/>
      <c r="X25" s="8"/>
      <c r="AF25" s="100"/>
      <c r="AG25" s="7"/>
      <c r="AH25" s="7"/>
      <c r="AI25" s="100"/>
      <c r="AK25" s="7"/>
      <c r="AL25" s="100"/>
      <c r="AN25" s="7"/>
      <c r="AV25" s="100"/>
      <c r="AX25" s="7"/>
    </row>
    <row r="26" spans="1:24" ht="12.75">
      <c r="A26" t="s">
        <v>143</v>
      </c>
      <c r="J26" s="25"/>
      <c r="K26" s="119" t="s">
        <v>926</v>
      </c>
      <c r="U26" s="8"/>
      <c r="V26" s="7"/>
      <c r="W26" s="7"/>
      <c r="X26" s="8"/>
    </row>
    <row r="27" spans="10:24" ht="12.75">
      <c r="J27" s="25"/>
      <c r="U27" s="8"/>
      <c r="V27" s="7"/>
      <c r="W27" s="7"/>
      <c r="X27" s="8"/>
    </row>
    <row r="28" spans="1:24" ht="12.75">
      <c r="A28" s="33" t="s">
        <v>781</v>
      </c>
      <c r="J28" s="25"/>
      <c r="U28" s="8"/>
      <c r="V28" s="7"/>
      <c r="W28" s="7"/>
      <c r="X28" s="8"/>
    </row>
    <row r="29" spans="1:24" ht="12.75">
      <c r="A29" s="35"/>
      <c r="J29" s="25"/>
      <c r="U29" s="8"/>
      <c r="V29" s="7"/>
      <c r="W29" s="7"/>
      <c r="X29" s="8"/>
    </row>
    <row r="30" spans="1:24" ht="12.75">
      <c r="A30" t="s">
        <v>715</v>
      </c>
      <c r="J30" s="25"/>
      <c r="U30" s="8"/>
      <c r="V30" s="7"/>
      <c r="W30" s="7"/>
      <c r="X30" s="8"/>
    </row>
    <row r="31" spans="10:24" ht="12.75">
      <c r="J31" s="25"/>
      <c r="K31" s="11" t="s">
        <v>878</v>
      </c>
      <c r="L31" s="11" t="s">
        <v>879</v>
      </c>
      <c r="M31" s="11" t="s">
        <v>880</v>
      </c>
      <c r="P31" s="27"/>
      <c r="Q31" s="55"/>
      <c r="T31" s="25"/>
      <c r="U31" s="25"/>
      <c r="V31" s="7"/>
      <c r="W31" s="7"/>
      <c r="X31" s="8"/>
    </row>
    <row r="32" spans="9:24" ht="12.75">
      <c r="I32" s="1" t="s">
        <v>699</v>
      </c>
      <c r="K32" s="40"/>
      <c r="L32" s="40"/>
      <c r="M32" s="40"/>
      <c r="T32" s="92"/>
      <c r="U32" s="25"/>
      <c r="X32" s="8"/>
    </row>
    <row r="33" spans="11:24" ht="12.75">
      <c r="K33" s="27" t="s">
        <v>895</v>
      </c>
      <c r="L33" s="27" t="s">
        <v>896</v>
      </c>
      <c r="M33" s="27" t="s">
        <v>897</v>
      </c>
      <c r="O33" s="34" t="s">
        <v>732</v>
      </c>
      <c r="S33" s="8"/>
      <c r="T33" s="8"/>
      <c r="X33" s="8"/>
    </row>
    <row r="34" spans="10:21" ht="12.75">
      <c r="J34" s="25"/>
      <c r="K34" s="27"/>
      <c r="L34" s="39"/>
      <c r="M34" s="39"/>
      <c r="O34" s="34" t="s">
        <v>805</v>
      </c>
      <c r="U34" s="25"/>
    </row>
    <row r="35" spans="10:21" ht="12.75">
      <c r="J35" s="25"/>
      <c r="K35" s="27"/>
      <c r="L35" s="39"/>
      <c r="M35" s="39"/>
      <c r="O35" t="s">
        <v>600</v>
      </c>
      <c r="P35" s="80" t="s">
        <v>877</v>
      </c>
      <c r="U35" s="25"/>
    </row>
    <row r="36" spans="10:21" ht="12.75">
      <c r="J36" s="25"/>
      <c r="K36" s="27" t="s">
        <v>902</v>
      </c>
      <c r="L36" s="27" t="s">
        <v>903</v>
      </c>
      <c r="M36" s="27" t="s">
        <v>902</v>
      </c>
      <c r="O36" s="34" t="s">
        <v>787</v>
      </c>
      <c r="P36" s="118" t="s">
        <v>904</v>
      </c>
      <c r="S36" s="25"/>
      <c r="T36" s="25"/>
      <c r="U36" s="25"/>
    </row>
    <row r="37" spans="11:21" ht="12.75">
      <c r="K37" s="23"/>
      <c r="L37" s="23"/>
      <c r="M37" s="23"/>
      <c r="S37" s="40"/>
      <c r="T37" s="25"/>
      <c r="U37" s="25"/>
    </row>
    <row r="38" spans="10:21" ht="12.75">
      <c r="J38" s="25"/>
      <c r="K38" s="27"/>
      <c r="L38" s="39"/>
      <c r="M38" s="39"/>
      <c r="S38" s="25"/>
      <c r="T38" s="25"/>
      <c r="U38" s="7"/>
    </row>
    <row r="39" spans="10:20" ht="12.75">
      <c r="J39" s="25"/>
      <c r="K39" s="60">
        <v>2683.8</v>
      </c>
      <c r="L39" s="60">
        <v>1985.29</v>
      </c>
      <c r="M39" s="60">
        <v>2904.4</v>
      </c>
      <c r="O39" t="s">
        <v>792</v>
      </c>
      <c r="P39" s="8"/>
      <c r="Q39" s="24"/>
      <c r="S39" s="25"/>
      <c r="T39" s="25"/>
    </row>
    <row r="40" spans="10:17" ht="12.75">
      <c r="J40" s="25"/>
      <c r="K40" s="72">
        <f>K39*6.5</f>
        <v>17444.7</v>
      </c>
      <c r="L40" s="72">
        <f>L39*6.5</f>
        <v>12904.385</v>
      </c>
      <c r="M40" s="72">
        <f>M39*6.5</f>
        <v>18878.600000000002</v>
      </c>
      <c r="O40" t="s">
        <v>542</v>
      </c>
      <c r="P40" s="8"/>
      <c r="Q40" s="24"/>
    </row>
    <row r="41" spans="10:21" ht="12.75">
      <c r="J41" s="25"/>
      <c r="K41" s="72">
        <f>K39*6.8</f>
        <v>18249.84</v>
      </c>
      <c r="L41" s="72">
        <f>L39*6.8</f>
        <v>13499.972</v>
      </c>
      <c r="M41" s="72">
        <f>M39*6.8</f>
        <v>19749.920000000002</v>
      </c>
      <c r="O41" t="s">
        <v>791</v>
      </c>
      <c r="P41" s="8"/>
      <c r="U41" s="25"/>
    </row>
    <row r="42" spans="11:21" ht="12.75">
      <c r="K42" s="91" t="s">
        <v>901</v>
      </c>
      <c r="L42" s="91" t="s">
        <v>901</v>
      </c>
      <c r="M42" s="91" t="s">
        <v>901</v>
      </c>
      <c r="O42" s="25" t="s">
        <v>262</v>
      </c>
      <c r="U42" s="25"/>
    </row>
    <row r="43" spans="10:21" ht="12.75">
      <c r="J43" s="25"/>
      <c r="K43" s="27"/>
      <c r="L43" s="79"/>
      <c r="M43" s="60"/>
      <c r="U43" s="25"/>
    </row>
    <row r="44" spans="10:21" ht="12.75">
      <c r="J44" s="25"/>
      <c r="K44" s="27" t="s">
        <v>899</v>
      </c>
      <c r="L44" s="27" t="s">
        <v>900</v>
      </c>
      <c r="M44" s="27" t="s">
        <v>899</v>
      </c>
      <c r="O44" t="s">
        <v>898</v>
      </c>
      <c r="P44" s="8"/>
      <c r="U44" s="25"/>
    </row>
    <row r="45" spans="10:17" ht="12.75">
      <c r="J45" s="25"/>
      <c r="K45" s="27"/>
      <c r="L45" s="72"/>
      <c r="M45" s="72"/>
      <c r="P45" s="8"/>
      <c r="Q45" s="25"/>
    </row>
    <row r="46" spans="10:16" ht="12.75">
      <c r="J46" s="25"/>
      <c r="K46" s="27"/>
      <c r="L46" s="23"/>
      <c r="M46" s="23"/>
      <c r="P46" s="8"/>
    </row>
    <row r="47" spans="10:13" ht="12.75">
      <c r="J47" s="25"/>
      <c r="K47" s="27"/>
      <c r="L47" s="27"/>
      <c r="M47" s="27"/>
    </row>
    <row r="48" spans="10:15" ht="12.75">
      <c r="J48" s="25"/>
      <c r="K48" s="27" t="s">
        <v>927</v>
      </c>
      <c r="L48" s="27"/>
      <c r="M48" s="27"/>
      <c r="O48" s="14" t="s">
        <v>599</v>
      </c>
    </row>
    <row r="49" spans="10:15" ht="12.75">
      <c r="J49" s="25"/>
      <c r="K49" s="120" t="s">
        <v>926</v>
      </c>
      <c r="L49" s="27"/>
      <c r="M49" s="27"/>
      <c r="O49" t="s">
        <v>479</v>
      </c>
    </row>
    <row r="50" spans="10:15" ht="12.75">
      <c r="J50" s="25"/>
      <c r="K50" s="27"/>
      <c r="L50" s="27"/>
      <c r="M50" s="27"/>
      <c r="O50" t="s">
        <v>480</v>
      </c>
    </row>
    <row r="51" spans="10:15" ht="12.75">
      <c r="J51" s="25"/>
      <c r="M51" s="27"/>
      <c r="O51" t="s">
        <v>831</v>
      </c>
    </row>
    <row r="52" spans="11:15" ht="12.75">
      <c r="K52" s="27"/>
      <c r="L52" s="27"/>
      <c r="M52" s="27"/>
      <c r="O52" t="s">
        <v>481</v>
      </c>
    </row>
    <row r="53" spans="11:15" ht="12.75">
      <c r="K53" s="27"/>
      <c r="L53" s="27"/>
      <c r="M53" s="27"/>
      <c r="O53" t="s">
        <v>482</v>
      </c>
    </row>
    <row r="54" spans="9:13" ht="12.75">
      <c r="I54" s="1" t="s">
        <v>700</v>
      </c>
      <c r="J54" s="25"/>
      <c r="K54" s="23"/>
      <c r="L54" s="23"/>
      <c r="M54" s="23"/>
    </row>
    <row r="55" spans="10:15" ht="12.75">
      <c r="J55" s="25"/>
      <c r="K55" s="27"/>
      <c r="L55" s="39"/>
      <c r="M55" s="27"/>
      <c r="O55" s="14" t="s">
        <v>476</v>
      </c>
    </row>
    <row r="56" spans="10:20" ht="12.75">
      <c r="J56" s="25"/>
      <c r="K56" s="27" t="s">
        <v>933</v>
      </c>
      <c r="L56" s="27"/>
      <c r="M56" s="27"/>
      <c r="N56" s="27"/>
      <c r="O56" t="s">
        <v>556</v>
      </c>
      <c r="T56" t="s">
        <v>935</v>
      </c>
    </row>
    <row r="57" spans="10:16" ht="12.75">
      <c r="J57" s="25"/>
      <c r="K57" s="27" t="s">
        <v>928</v>
      </c>
      <c r="L57" s="27"/>
      <c r="M57" s="27"/>
      <c r="N57" s="27"/>
      <c r="O57" t="s">
        <v>472</v>
      </c>
      <c r="P57" s="8"/>
    </row>
    <row r="58" spans="10:18" ht="12.75">
      <c r="J58" s="25"/>
      <c r="K58" s="27"/>
      <c r="L58" s="27"/>
      <c r="M58" s="27"/>
      <c r="N58" s="27"/>
      <c r="O58" t="s">
        <v>473</v>
      </c>
      <c r="P58" s="8"/>
      <c r="Q58" s="39"/>
      <c r="R58" s="71"/>
    </row>
    <row r="59" spans="10:14" ht="12.75">
      <c r="J59" s="25"/>
      <c r="K59" s="120" t="s">
        <v>926</v>
      </c>
      <c r="L59" s="23"/>
      <c r="M59" s="23"/>
      <c r="N59" s="27"/>
    </row>
    <row r="60" spans="10:15" ht="12.75">
      <c r="J60" s="25"/>
      <c r="M60" s="27"/>
      <c r="N60" s="27"/>
      <c r="O60" s="14" t="s">
        <v>483</v>
      </c>
    </row>
    <row r="61" spans="10:16" ht="12.75">
      <c r="J61" s="25"/>
      <c r="K61" s="27"/>
      <c r="L61" s="27"/>
      <c r="M61" s="27"/>
      <c r="N61" s="27"/>
      <c r="O61" s="27" t="s">
        <v>705</v>
      </c>
      <c r="P61" t="s">
        <v>484</v>
      </c>
    </row>
    <row r="62" spans="10:16" ht="12.75">
      <c r="J62" s="25"/>
      <c r="K62" s="27"/>
      <c r="L62" s="27"/>
      <c r="M62" s="27"/>
      <c r="N62" s="27"/>
      <c r="O62" s="27" t="s">
        <v>806</v>
      </c>
      <c r="P62" t="s">
        <v>484</v>
      </c>
    </row>
    <row r="63" spans="10:14" ht="12.75">
      <c r="J63" s="25"/>
      <c r="K63" s="27"/>
      <c r="L63" s="23"/>
      <c r="M63" s="23"/>
      <c r="N63" s="27"/>
    </row>
    <row r="64" spans="10:15" ht="12.75">
      <c r="J64" s="25"/>
      <c r="K64" s="27"/>
      <c r="L64" s="39"/>
      <c r="M64" s="27"/>
      <c r="N64" s="27"/>
      <c r="O64" s="14" t="s">
        <v>487</v>
      </c>
    </row>
    <row r="65" spans="10:16" ht="12.75">
      <c r="J65" s="25"/>
      <c r="K65" s="27" t="s">
        <v>934</v>
      </c>
      <c r="L65" s="27"/>
      <c r="M65" s="27"/>
      <c r="N65" s="27"/>
      <c r="O65" s="27" t="s">
        <v>705</v>
      </c>
      <c r="P65" t="s">
        <v>484</v>
      </c>
    </row>
    <row r="66" spans="10:16" ht="12.75">
      <c r="J66" s="25"/>
      <c r="K66" s="27" t="s">
        <v>929</v>
      </c>
      <c r="L66" s="27"/>
      <c r="M66" s="27"/>
      <c r="N66" s="27"/>
      <c r="O66" s="27" t="s">
        <v>488</v>
      </c>
      <c r="P66" t="s">
        <v>484</v>
      </c>
    </row>
    <row r="67" spans="10:20" ht="12.75">
      <c r="J67" s="25"/>
      <c r="M67" s="27"/>
      <c r="O67" s="27" t="s">
        <v>842</v>
      </c>
      <c r="P67" t="s">
        <v>484</v>
      </c>
      <c r="T67" t="s">
        <v>936</v>
      </c>
    </row>
    <row r="68" spans="10:16" ht="12.75">
      <c r="J68" s="25"/>
      <c r="L68" s="27"/>
      <c r="M68" s="27"/>
      <c r="N68" s="27"/>
      <c r="O68" s="27" t="s">
        <v>806</v>
      </c>
      <c r="P68" t="s">
        <v>484</v>
      </c>
    </row>
    <row r="69" spans="10:14" ht="12.75">
      <c r="J69" s="25"/>
      <c r="K69" s="120" t="s">
        <v>926</v>
      </c>
      <c r="L69" s="23"/>
      <c r="M69" s="23"/>
      <c r="N69" s="27"/>
    </row>
    <row r="70" spans="10:15" ht="12.75">
      <c r="J70" s="25"/>
      <c r="L70" s="39"/>
      <c r="M70" s="27"/>
      <c r="N70" s="27"/>
      <c r="O70" s="14" t="s">
        <v>467</v>
      </c>
    </row>
    <row r="71" spans="10:18" ht="12.75">
      <c r="J71" s="25"/>
      <c r="K71" s="27"/>
      <c r="L71" s="27"/>
      <c r="M71" s="27"/>
      <c r="N71" s="27"/>
      <c r="O71" s="35" t="s">
        <v>470</v>
      </c>
      <c r="R71" s="110" t="s">
        <v>464</v>
      </c>
    </row>
    <row r="72" spans="10:18" ht="12.75">
      <c r="J72" s="25"/>
      <c r="K72" s="27" t="s">
        <v>930</v>
      </c>
      <c r="M72" s="27"/>
      <c r="N72" s="27"/>
      <c r="O72" s="35" t="s">
        <v>827</v>
      </c>
      <c r="R72" s="110" t="s">
        <v>465</v>
      </c>
    </row>
    <row r="73" spans="10:18" ht="12.75">
      <c r="J73" s="25"/>
      <c r="K73" s="120" t="s">
        <v>926</v>
      </c>
      <c r="L73" s="23"/>
      <c r="M73" s="23"/>
      <c r="N73" s="27"/>
      <c r="R73" s="110" t="s">
        <v>466</v>
      </c>
    </row>
    <row r="74" spans="10:14" ht="12.75">
      <c r="J74" s="25"/>
      <c r="M74" s="27"/>
      <c r="N74" s="27"/>
    </row>
    <row r="75" spans="9:15" ht="12.75">
      <c r="I75" s="1" t="s">
        <v>701</v>
      </c>
      <c r="J75" s="25"/>
      <c r="K75" s="27" t="s">
        <v>260</v>
      </c>
      <c r="L75" s="27"/>
      <c r="M75" s="27"/>
      <c r="O75" t="s">
        <v>844</v>
      </c>
    </row>
    <row r="76" spans="10:13" ht="12.75">
      <c r="J76" s="25"/>
      <c r="K76" s="120" t="s">
        <v>926</v>
      </c>
      <c r="L76" s="23"/>
      <c r="M76" s="23"/>
    </row>
    <row r="77" spans="10:15" ht="12.75">
      <c r="J77" s="25"/>
      <c r="O77" s="14" t="s">
        <v>185</v>
      </c>
    </row>
    <row r="78" spans="10:15" ht="12.75">
      <c r="J78" s="25"/>
      <c r="K78" s="27"/>
      <c r="L78" s="27"/>
      <c r="M78" s="27"/>
      <c r="O78" s="35" t="s">
        <v>825</v>
      </c>
    </row>
    <row r="79" spans="10:15" ht="12.75">
      <c r="J79" s="25"/>
      <c r="K79" s="27"/>
      <c r="L79" s="27"/>
      <c r="M79" s="27"/>
      <c r="O79" s="35" t="s">
        <v>824</v>
      </c>
    </row>
    <row r="80" spans="10:13" ht="12.75">
      <c r="J80" s="25"/>
      <c r="K80" s="23"/>
      <c r="L80" s="23"/>
      <c r="M80" s="23"/>
    </row>
    <row r="81" ht="12.75">
      <c r="J81" s="25"/>
    </row>
    <row r="82" spans="10:15" ht="12.75">
      <c r="J82" s="25"/>
      <c r="K82" s="27"/>
      <c r="L82" s="27"/>
      <c r="M82" s="27"/>
      <c r="O82" t="s">
        <v>541</v>
      </c>
    </row>
    <row r="83" spans="11:13" ht="12.75">
      <c r="K83" s="23"/>
      <c r="L83" s="23"/>
      <c r="M83" s="23"/>
    </row>
    <row r="85" spans="11:15" ht="12.75">
      <c r="K85" s="68" t="s">
        <v>905</v>
      </c>
      <c r="L85" s="68" t="s">
        <v>906</v>
      </c>
      <c r="M85" s="68" t="s">
        <v>907</v>
      </c>
      <c r="O85" s="55" t="s">
        <v>852</v>
      </c>
    </row>
    <row r="86" spans="11:13" ht="12.75">
      <c r="K86" s="91" t="s">
        <v>901</v>
      </c>
      <c r="L86" s="91" t="s">
        <v>901</v>
      </c>
      <c r="M86" s="91" t="s">
        <v>901</v>
      </c>
    </row>
    <row r="88" spans="11:15" ht="12.75">
      <c r="K88" s="27"/>
      <c r="L88" s="27"/>
      <c r="M88" s="27"/>
      <c r="O88" t="s">
        <v>114</v>
      </c>
    </row>
    <row r="91" spans="11:16" ht="12.75">
      <c r="K91" s="40"/>
      <c r="O91" s="11" t="s">
        <v>786</v>
      </c>
      <c r="P91" t="s">
        <v>911</v>
      </c>
    </row>
    <row r="92" spans="11:13" ht="12.75">
      <c r="K92" s="58" t="s">
        <v>908</v>
      </c>
      <c r="L92" s="58" t="s">
        <v>909</v>
      </c>
      <c r="M92" s="58" t="s">
        <v>908</v>
      </c>
    </row>
    <row r="93" spans="11:13" ht="12.75">
      <c r="K93" s="23" t="s">
        <v>874</v>
      </c>
      <c r="L93" s="23" t="s">
        <v>874</v>
      </c>
      <c r="M93" s="23" t="s">
        <v>874</v>
      </c>
    </row>
    <row r="94" spans="11:16" ht="12.75">
      <c r="K94" s="79">
        <v>25000</v>
      </c>
      <c r="L94" s="79">
        <v>25000</v>
      </c>
      <c r="M94" s="79">
        <v>25000</v>
      </c>
      <c r="O94" s="27" t="s">
        <v>867</v>
      </c>
      <c r="P94" s="34" t="s">
        <v>875</v>
      </c>
    </row>
    <row r="95" spans="11:15" ht="12.75">
      <c r="K95" s="39"/>
      <c r="L95" s="39"/>
      <c r="M95" s="39"/>
      <c r="O95" s="27" t="s">
        <v>784</v>
      </c>
    </row>
    <row r="96" spans="9:16" ht="12.75">
      <c r="I96" s="1"/>
      <c r="K96" s="31">
        <f>(K94*K95)/3600</f>
        <v>0</v>
      </c>
      <c r="L96" s="31">
        <f>(L94*L95)/3600</f>
        <v>0</v>
      </c>
      <c r="M96" s="31">
        <f>(M94*M95)/3600</f>
        <v>0</v>
      </c>
      <c r="N96" s="31"/>
      <c r="O96" s="27" t="s">
        <v>868</v>
      </c>
      <c r="P96" s="34" t="s">
        <v>876</v>
      </c>
    </row>
    <row r="97" spans="9:15" ht="12.75">
      <c r="I97" s="1" t="s">
        <v>702</v>
      </c>
      <c r="K97" s="40"/>
      <c r="L97" s="40"/>
      <c r="O97" s="27"/>
    </row>
    <row r="98" spans="11:16" ht="12.75">
      <c r="K98" s="79">
        <v>40000</v>
      </c>
      <c r="L98" s="79">
        <v>40000</v>
      </c>
      <c r="M98" s="79">
        <v>40000</v>
      </c>
      <c r="O98" s="27" t="s">
        <v>144</v>
      </c>
      <c r="P98" s="34" t="s">
        <v>875</v>
      </c>
    </row>
    <row r="99" spans="11:15" ht="12.75">
      <c r="K99" s="39"/>
      <c r="L99" s="39"/>
      <c r="M99" s="39"/>
      <c r="O99" s="27" t="s">
        <v>784</v>
      </c>
    </row>
    <row r="100" spans="11:16" ht="12.75">
      <c r="K100" s="31">
        <f>(K98*K99)/3600</f>
        <v>0</v>
      </c>
      <c r="L100" s="31">
        <f>(L98*L99)/3600</f>
        <v>0</v>
      </c>
      <c r="M100" s="31">
        <f>(M98*M99)/3600</f>
        <v>0</v>
      </c>
      <c r="N100" s="31"/>
      <c r="O100" s="27" t="s">
        <v>868</v>
      </c>
      <c r="P100" s="34" t="s">
        <v>876</v>
      </c>
    </row>
    <row r="101" spans="11:15" ht="12.75">
      <c r="K101" s="91" t="s">
        <v>901</v>
      </c>
      <c r="L101" s="91" t="s">
        <v>901</v>
      </c>
      <c r="M101" s="91" t="s">
        <v>901</v>
      </c>
      <c r="O101" s="27"/>
    </row>
    <row r="102" spans="12:15" ht="12.75">
      <c r="L102" s="25" t="s">
        <v>910</v>
      </c>
      <c r="O102" s="32"/>
    </row>
    <row r="104" ht="12.75">
      <c r="O104" s="11" t="s">
        <v>799</v>
      </c>
    </row>
    <row r="105" spans="11:18" ht="12.75">
      <c r="K105" s="27"/>
      <c r="L105" s="27"/>
      <c r="M105" s="27"/>
      <c r="R105" s="25"/>
    </row>
    <row r="106" spans="11:18" ht="12.75">
      <c r="K106" s="27" t="s">
        <v>931</v>
      </c>
      <c r="L106" s="27" t="s">
        <v>932</v>
      </c>
      <c r="M106" s="27" t="s">
        <v>932</v>
      </c>
      <c r="O106" s="27" t="s">
        <v>912</v>
      </c>
      <c r="P106" t="s">
        <v>924</v>
      </c>
      <c r="R106" s="23"/>
    </row>
    <row r="107" spans="11:13" ht="12.75">
      <c r="K107" s="23" t="s">
        <v>925</v>
      </c>
      <c r="L107" s="23" t="s">
        <v>329</v>
      </c>
      <c r="M107" s="23" t="s">
        <v>329</v>
      </c>
    </row>
    <row r="109" ht="12.75">
      <c r="O109" s="11" t="s">
        <v>878</v>
      </c>
    </row>
    <row r="110" spans="15:17" ht="12.75">
      <c r="O110" s="23"/>
      <c r="Q110" s="24"/>
    </row>
    <row r="111" spans="12:17" ht="12.75">
      <c r="L111" s="24" t="s">
        <v>891</v>
      </c>
      <c r="Q111" s="24" t="s">
        <v>888</v>
      </c>
    </row>
    <row r="113" spans="11:20" ht="12.75">
      <c r="K113" s="39" t="s">
        <v>696</v>
      </c>
      <c r="L113" s="39" t="s">
        <v>417</v>
      </c>
      <c r="M113" s="39" t="s">
        <v>697</v>
      </c>
      <c r="N113" s="39" t="s">
        <v>884</v>
      </c>
      <c r="O113" s="39" t="s">
        <v>886</v>
      </c>
      <c r="P113" s="39"/>
      <c r="Q113" s="55"/>
      <c r="T113" s="93"/>
    </row>
    <row r="114" spans="11:20" ht="12.75">
      <c r="K114" s="32" t="s">
        <v>75</v>
      </c>
      <c r="L114" s="32" t="s">
        <v>75</v>
      </c>
      <c r="M114" s="32" t="s">
        <v>75</v>
      </c>
      <c r="N114" s="32" t="s">
        <v>75</v>
      </c>
      <c r="O114" s="32" t="s">
        <v>75</v>
      </c>
      <c r="P114" s="32" t="s">
        <v>70</v>
      </c>
      <c r="Q114" s="58" t="s">
        <v>79</v>
      </c>
      <c r="R114" s="32" t="s">
        <v>400</v>
      </c>
      <c r="S114" s="32" t="s">
        <v>399</v>
      </c>
      <c r="T114" s="32" t="s">
        <v>596</v>
      </c>
    </row>
    <row r="115" spans="11:20" ht="12.75">
      <c r="K115" s="23" t="s">
        <v>882</v>
      </c>
      <c r="L115" s="23" t="s">
        <v>883</v>
      </c>
      <c r="M115" s="23" t="s">
        <v>881</v>
      </c>
      <c r="N115" s="23" t="s">
        <v>885</v>
      </c>
      <c r="O115" s="23" t="s">
        <v>887</v>
      </c>
      <c r="P115" s="23"/>
      <c r="Q115" s="55"/>
      <c r="T115" s="93"/>
    </row>
    <row r="116" spans="11:16" ht="12.75">
      <c r="K116" s="40" t="s">
        <v>889</v>
      </c>
      <c r="L116" s="40" t="s">
        <v>892</v>
      </c>
      <c r="M116" s="40" t="s">
        <v>893</v>
      </c>
      <c r="N116" s="40" t="s">
        <v>892</v>
      </c>
      <c r="O116" s="40" t="s">
        <v>889</v>
      </c>
      <c r="P116" s="25" t="s">
        <v>890</v>
      </c>
    </row>
    <row r="118" spans="9:19" ht="12.75">
      <c r="I118" s="1" t="s">
        <v>706</v>
      </c>
      <c r="K118" s="27">
        <v>1</v>
      </c>
      <c r="L118" s="27"/>
      <c r="M118" s="27"/>
      <c r="N118" s="27"/>
      <c r="O118" s="27"/>
      <c r="P118" s="96"/>
      <c r="Q118" s="39" t="s">
        <v>63</v>
      </c>
      <c r="R118" s="57" t="s">
        <v>429</v>
      </c>
      <c r="S118" s="45" t="s">
        <v>65</v>
      </c>
    </row>
    <row r="119" spans="11:19" ht="12.75">
      <c r="K119" s="27"/>
      <c r="L119" s="27">
        <v>2</v>
      </c>
      <c r="M119" s="27">
        <v>2</v>
      </c>
      <c r="N119" s="27">
        <v>1</v>
      </c>
      <c r="O119" s="27">
        <v>1</v>
      </c>
      <c r="P119" s="96"/>
      <c r="Q119" s="27" t="s">
        <v>526</v>
      </c>
      <c r="R119" s="57" t="s">
        <v>624</v>
      </c>
      <c r="S119" s="45" t="s">
        <v>65</v>
      </c>
    </row>
    <row r="120" spans="11:18" ht="12.75">
      <c r="K120" s="27"/>
      <c r="L120" s="27"/>
      <c r="M120" s="27"/>
      <c r="N120" s="27"/>
      <c r="O120" s="27"/>
      <c r="P120" s="96"/>
      <c r="Q120" s="27"/>
      <c r="R120" s="57"/>
    </row>
    <row r="121" spans="11:18" ht="12.75">
      <c r="K121" s="27"/>
      <c r="L121" s="27"/>
      <c r="M121" s="27"/>
      <c r="N121" s="27"/>
      <c r="O121" s="27"/>
      <c r="P121" s="96"/>
      <c r="Q121" s="27"/>
      <c r="R121" s="57"/>
    </row>
    <row r="122" spans="11:19" ht="12.75">
      <c r="K122" s="27"/>
      <c r="P122" s="96" t="s">
        <v>105</v>
      </c>
      <c r="Q122" s="27" t="s">
        <v>437</v>
      </c>
      <c r="R122" s="96" t="s">
        <v>407</v>
      </c>
      <c r="S122" t="s">
        <v>95</v>
      </c>
    </row>
    <row r="123" spans="11:18" ht="12.75">
      <c r="K123" s="27"/>
      <c r="L123" s="27"/>
      <c r="M123" s="27"/>
      <c r="N123" s="27"/>
      <c r="O123" s="27"/>
      <c r="P123" s="96"/>
      <c r="Q123" s="27"/>
      <c r="R123" s="57"/>
    </row>
    <row r="124" spans="11:19" ht="12.75">
      <c r="K124" s="27"/>
      <c r="L124" s="27">
        <v>1</v>
      </c>
      <c r="M124" s="27">
        <v>1</v>
      </c>
      <c r="N124" s="27">
        <v>1</v>
      </c>
      <c r="O124" s="27"/>
      <c r="P124" s="96"/>
      <c r="Q124" s="27" t="s">
        <v>314</v>
      </c>
      <c r="R124" s="96" t="s">
        <v>411</v>
      </c>
      <c r="S124" t="s">
        <v>315</v>
      </c>
    </row>
    <row r="125" spans="11:12" ht="12.75">
      <c r="K125" s="27"/>
      <c r="L125" s="27"/>
    </row>
    <row r="126" spans="11:16" ht="12.75">
      <c r="K126" s="27"/>
      <c r="L126" s="27"/>
      <c r="M126" s="27"/>
      <c r="N126" s="27"/>
      <c r="O126" s="27"/>
      <c r="P126" s="96"/>
    </row>
    <row r="127" spans="11:19" ht="12.75">
      <c r="K127" s="27"/>
      <c r="L127" s="27"/>
      <c r="P127" s="96" t="s">
        <v>101</v>
      </c>
      <c r="Q127" s="27" t="s">
        <v>415</v>
      </c>
      <c r="R127" s="96" t="s">
        <v>412</v>
      </c>
      <c r="S127" t="s">
        <v>801</v>
      </c>
    </row>
    <row r="128" spans="11:19" ht="12.75">
      <c r="K128" s="27"/>
      <c r="L128" s="27"/>
      <c r="M128" s="27"/>
      <c r="N128" s="27"/>
      <c r="O128" s="27"/>
      <c r="P128" s="96"/>
      <c r="Q128" s="27"/>
      <c r="R128" s="96"/>
      <c r="S128" s="34"/>
    </row>
    <row r="129" spans="11:19" ht="12.75">
      <c r="K129" s="27"/>
      <c r="L129" s="27"/>
      <c r="M129" s="27"/>
      <c r="N129" s="27"/>
      <c r="O129" s="27"/>
      <c r="P129" s="96"/>
      <c r="Q129" s="27"/>
      <c r="R129" s="96"/>
      <c r="S129" s="34"/>
    </row>
    <row r="130" spans="11:18" ht="12.75">
      <c r="K130" s="27"/>
      <c r="L130" s="27"/>
      <c r="M130" s="27"/>
      <c r="N130" s="27"/>
      <c r="O130" s="27"/>
      <c r="P130" s="96"/>
      <c r="Q130" s="27"/>
      <c r="R130" s="57"/>
    </row>
    <row r="131" spans="11:19" ht="12.75">
      <c r="K131" s="27"/>
      <c r="L131" s="27"/>
      <c r="O131" s="27"/>
      <c r="P131" s="96"/>
      <c r="Q131" s="27"/>
      <c r="R131" s="57"/>
      <c r="S131" s="34"/>
    </row>
    <row r="132" spans="11:19" ht="12.75">
      <c r="K132" s="27"/>
      <c r="L132" s="27"/>
      <c r="O132" s="27"/>
      <c r="P132" s="96"/>
      <c r="Q132" s="27"/>
      <c r="R132" s="57"/>
      <c r="S132" s="34"/>
    </row>
    <row r="133" spans="11:19" ht="12.75">
      <c r="K133" s="27"/>
      <c r="L133" s="27"/>
      <c r="M133" s="27"/>
      <c r="N133" s="27"/>
      <c r="O133" s="11" t="s">
        <v>879</v>
      </c>
      <c r="P133" s="96"/>
      <c r="Q133" s="27"/>
      <c r="R133" s="96"/>
      <c r="S133" s="34"/>
    </row>
    <row r="134" spans="15:17" ht="12.75">
      <c r="O134" s="23"/>
      <c r="Q134" s="24"/>
    </row>
    <row r="135" spans="12:17" ht="12.75">
      <c r="L135" s="24" t="s">
        <v>891</v>
      </c>
      <c r="Q135" s="24" t="s">
        <v>888</v>
      </c>
    </row>
    <row r="137" spans="11:20" ht="12.75">
      <c r="K137" s="39" t="s">
        <v>696</v>
      </c>
      <c r="L137" s="39" t="s">
        <v>417</v>
      </c>
      <c r="M137" s="39" t="s">
        <v>697</v>
      </c>
      <c r="N137" s="39" t="s">
        <v>884</v>
      </c>
      <c r="O137" s="39" t="s">
        <v>886</v>
      </c>
      <c r="P137" s="39"/>
      <c r="Q137" s="55"/>
      <c r="T137" s="93"/>
    </row>
    <row r="138" spans="11:20" ht="12.75">
      <c r="K138" s="32" t="s">
        <v>75</v>
      </c>
      <c r="L138" s="32" t="s">
        <v>75</v>
      </c>
      <c r="M138" s="32" t="s">
        <v>75</v>
      </c>
      <c r="N138" s="32" t="s">
        <v>75</v>
      </c>
      <c r="O138" s="32" t="s">
        <v>75</v>
      </c>
      <c r="P138" s="32" t="s">
        <v>70</v>
      </c>
      <c r="Q138" s="58" t="s">
        <v>79</v>
      </c>
      <c r="R138" s="32" t="s">
        <v>400</v>
      </c>
      <c r="S138" s="32" t="s">
        <v>399</v>
      </c>
      <c r="T138" s="32" t="s">
        <v>596</v>
      </c>
    </row>
    <row r="139" spans="9:20" ht="12.75">
      <c r="I139" s="1" t="s">
        <v>707</v>
      </c>
      <c r="K139" s="23" t="s">
        <v>882</v>
      </c>
      <c r="L139" s="23" t="s">
        <v>883</v>
      </c>
      <c r="M139" s="23" t="s">
        <v>881</v>
      </c>
      <c r="N139" s="23" t="s">
        <v>885</v>
      </c>
      <c r="O139" s="23" t="s">
        <v>887</v>
      </c>
      <c r="P139" s="23"/>
      <c r="Q139" s="55"/>
      <c r="T139" s="93"/>
    </row>
    <row r="140" spans="11:16" ht="12.75">
      <c r="K140" s="40" t="s">
        <v>889</v>
      </c>
      <c r="L140" s="40"/>
      <c r="M140" s="40"/>
      <c r="N140" s="40"/>
      <c r="O140" s="40" t="s">
        <v>889</v>
      </c>
      <c r="P140" s="25" t="s">
        <v>890</v>
      </c>
    </row>
    <row r="142" spans="11:19" ht="12.75">
      <c r="K142" s="27">
        <v>1</v>
      </c>
      <c r="L142" s="27"/>
      <c r="M142" s="27"/>
      <c r="N142" s="27"/>
      <c r="O142" s="27"/>
      <c r="P142" s="96"/>
      <c r="Q142" s="39" t="s">
        <v>63</v>
      </c>
      <c r="R142" s="57" t="s">
        <v>429</v>
      </c>
      <c r="S142" s="45" t="s">
        <v>65</v>
      </c>
    </row>
    <row r="143" spans="11:19" ht="12.75">
      <c r="K143" s="27"/>
      <c r="L143" s="27">
        <v>2</v>
      </c>
      <c r="M143" s="27">
        <v>2</v>
      </c>
      <c r="N143" s="27">
        <v>1</v>
      </c>
      <c r="O143" s="27">
        <v>1</v>
      </c>
      <c r="P143" s="96"/>
      <c r="Q143" s="27" t="s">
        <v>526</v>
      </c>
      <c r="R143" s="57" t="s">
        <v>624</v>
      </c>
      <c r="S143" s="45" t="s">
        <v>65</v>
      </c>
    </row>
    <row r="144" spans="11:18" ht="12.75">
      <c r="K144" s="27"/>
      <c r="L144" s="27"/>
      <c r="M144" s="27"/>
      <c r="N144" s="27"/>
      <c r="O144" s="27"/>
      <c r="P144" s="96"/>
      <c r="Q144" s="27"/>
      <c r="R144" s="57"/>
    </row>
    <row r="145" spans="11:18" ht="12.75">
      <c r="K145" s="27"/>
      <c r="L145" s="27"/>
      <c r="M145" s="27"/>
      <c r="N145" s="27"/>
      <c r="O145" s="27"/>
      <c r="P145" s="96"/>
      <c r="Q145" s="27"/>
      <c r="R145" s="57"/>
    </row>
    <row r="146" spans="11:19" ht="12.75">
      <c r="K146" s="27"/>
      <c r="P146" s="96" t="s">
        <v>105</v>
      </c>
      <c r="Q146" s="27" t="s">
        <v>437</v>
      </c>
      <c r="R146" s="96" t="s">
        <v>407</v>
      </c>
      <c r="S146" t="s">
        <v>95</v>
      </c>
    </row>
    <row r="147" spans="11:18" ht="12.75">
      <c r="K147" s="27"/>
      <c r="L147" s="27"/>
      <c r="M147" s="27"/>
      <c r="N147" s="27"/>
      <c r="O147" s="27"/>
      <c r="P147" s="96"/>
      <c r="Q147" s="27"/>
      <c r="R147" s="57"/>
    </row>
    <row r="148" spans="11:19" ht="12.75">
      <c r="K148" s="27"/>
      <c r="L148" s="27">
        <v>1</v>
      </c>
      <c r="M148" s="27">
        <v>1</v>
      </c>
      <c r="N148" s="27">
        <v>1</v>
      </c>
      <c r="O148" s="27"/>
      <c r="P148" s="96"/>
      <c r="Q148" s="27" t="s">
        <v>917</v>
      </c>
      <c r="R148" s="96" t="s">
        <v>380</v>
      </c>
      <c r="S148" t="s">
        <v>315</v>
      </c>
    </row>
    <row r="149" spans="11:12" ht="12.75">
      <c r="K149" s="27"/>
      <c r="L149" s="27"/>
    </row>
    <row r="150" spans="11:16" ht="12.75">
      <c r="K150" s="27"/>
      <c r="L150" s="27"/>
      <c r="M150" s="27"/>
      <c r="N150" s="27"/>
      <c r="O150" s="27"/>
      <c r="P150" s="96"/>
    </row>
    <row r="151" spans="11:19" ht="12.75">
      <c r="K151" s="27"/>
      <c r="L151" s="27"/>
      <c r="P151" s="96" t="s">
        <v>101</v>
      </c>
      <c r="Q151" s="27" t="s">
        <v>415</v>
      </c>
      <c r="R151" s="96" t="s">
        <v>412</v>
      </c>
      <c r="S151" t="s">
        <v>801</v>
      </c>
    </row>
    <row r="152" spans="11:19" ht="12.75">
      <c r="K152" s="27"/>
      <c r="L152" s="27"/>
      <c r="M152" s="27"/>
      <c r="N152" s="27"/>
      <c r="O152" s="27"/>
      <c r="P152" s="96"/>
      <c r="Q152" s="27"/>
      <c r="R152" s="96"/>
      <c r="S152" s="34"/>
    </row>
    <row r="154" spans="11:18" ht="12.75">
      <c r="K154" s="39"/>
      <c r="L154" s="39"/>
      <c r="M154" s="27"/>
      <c r="N154" s="27"/>
      <c r="O154" s="27"/>
      <c r="P154" s="57"/>
      <c r="Q154" s="27"/>
      <c r="R154" s="57"/>
    </row>
    <row r="155" spans="11:16" ht="12.75">
      <c r="K155" s="39"/>
      <c r="L155" s="39"/>
      <c r="M155" s="27"/>
      <c r="N155" s="27"/>
      <c r="O155" s="27"/>
      <c r="P155" s="57"/>
    </row>
    <row r="156" spans="11:18" ht="12.75">
      <c r="K156" s="39"/>
      <c r="L156" s="39"/>
      <c r="M156" s="39"/>
      <c r="N156" s="39"/>
      <c r="O156" s="39"/>
      <c r="P156" s="96"/>
      <c r="Q156" s="27"/>
      <c r="R156" s="57"/>
    </row>
    <row r="157" ht="12.75">
      <c r="O157" s="11" t="s">
        <v>880</v>
      </c>
    </row>
    <row r="158" spans="15:17" ht="12.75">
      <c r="O158" s="23"/>
      <c r="Q158" s="24"/>
    </row>
    <row r="159" spans="12:17" ht="12.75">
      <c r="L159" s="24" t="s">
        <v>891</v>
      </c>
      <c r="Q159" s="24" t="s">
        <v>888</v>
      </c>
    </row>
    <row r="160" ht="12.75">
      <c r="I160" s="1" t="s">
        <v>710</v>
      </c>
    </row>
    <row r="161" spans="11:20" ht="12.75">
      <c r="K161" s="39" t="s">
        <v>696</v>
      </c>
      <c r="L161" s="39" t="s">
        <v>417</v>
      </c>
      <c r="M161" s="39" t="s">
        <v>697</v>
      </c>
      <c r="N161" s="39" t="s">
        <v>884</v>
      </c>
      <c r="O161" s="39" t="s">
        <v>886</v>
      </c>
      <c r="P161" s="39"/>
      <c r="Q161" s="55"/>
      <c r="T161" s="93"/>
    </row>
    <row r="162" spans="11:20" ht="12.75">
      <c r="K162" s="32" t="s">
        <v>75</v>
      </c>
      <c r="L162" s="32" t="s">
        <v>75</v>
      </c>
      <c r="M162" s="32" t="s">
        <v>75</v>
      </c>
      <c r="N162" s="32" t="s">
        <v>75</v>
      </c>
      <c r="O162" s="32" t="s">
        <v>75</v>
      </c>
      <c r="P162" s="32" t="s">
        <v>70</v>
      </c>
      <c r="Q162" s="58" t="s">
        <v>79</v>
      </c>
      <c r="R162" s="32" t="s">
        <v>400</v>
      </c>
      <c r="S162" s="32" t="s">
        <v>399</v>
      </c>
      <c r="T162" s="32" t="s">
        <v>596</v>
      </c>
    </row>
    <row r="163" spans="11:20" ht="12.75">
      <c r="K163" s="23" t="s">
        <v>882</v>
      </c>
      <c r="L163" s="23" t="s">
        <v>883</v>
      </c>
      <c r="M163" s="23" t="s">
        <v>881</v>
      </c>
      <c r="N163" s="23" t="s">
        <v>885</v>
      </c>
      <c r="O163" s="23" t="s">
        <v>887</v>
      </c>
      <c r="P163" s="23"/>
      <c r="Q163" s="55"/>
      <c r="T163" s="93"/>
    </row>
    <row r="164" spans="11:16" ht="12.75">
      <c r="K164" s="40" t="s">
        <v>889</v>
      </c>
      <c r="L164" s="40" t="s">
        <v>892</v>
      </c>
      <c r="M164" s="40" t="s">
        <v>893</v>
      </c>
      <c r="N164" s="40" t="s">
        <v>892</v>
      </c>
      <c r="O164" s="40" t="s">
        <v>889</v>
      </c>
      <c r="P164" s="25" t="s">
        <v>890</v>
      </c>
    </row>
    <row r="166" spans="11:21" ht="12.75">
      <c r="K166" s="27">
        <v>1</v>
      </c>
      <c r="L166" s="27"/>
      <c r="M166" s="27"/>
      <c r="N166" s="27"/>
      <c r="O166" s="27"/>
      <c r="P166" s="96"/>
      <c r="Q166" s="39" t="s">
        <v>63</v>
      </c>
      <c r="R166" s="57" t="s">
        <v>429</v>
      </c>
      <c r="S166" s="45" t="s">
        <v>65</v>
      </c>
      <c r="U166" s="25"/>
    </row>
    <row r="167" spans="11:19" ht="12.75">
      <c r="K167" s="27"/>
      <c r="L167" s="27">
        <v>2</v>
      </c>
      <c r="M167" s="27">
        <v>2</v>
      </c>
      <c r="N167" s="27">
        <v>1</v>
      </c>
      <c r="O167" s="27">
        <v>1</v>
      </c>
      <c r="P167" s="96"/>
      <c r="Q167" s="27" t="s">
        <v>526</v>
      </c>
      <c r="R167" s="57" t="s">
        <v>624</v>
      </c>
      <c r="S167" s="45" t="s">
        <v>65</v>
      </c>
    </row>
    <row r="168" spans="11:18" ht="12.75">
      <c r="K168" s="27"/>
      <c r="L168" s="27"/>
      <c r="M168" s="27"/>
      <c r="N168" s="27"/>
      <c r="O168" s="27"/>
      <c r="P168" s="96"/>
      <c r="Q168" s="27"/>
      <c r="R168" s="57"/>
    </row>
    <row r="169" spans="11:18" ht="12.75">
      <c r="K169" s="27"/>
      <c r="L169" s="27"/>
      <c r="M169" s="27"/>
      <c r="N169" s="27"/>
      <c r="O169" s="27"/>
      <c r="P169" s="96"/>
      <c r="Q169" s="27"/>
      <c r="R169" s="57"/>
    </row>
    <row r="170" spans="11:19" ht="12.75">
      <c r="K170" s="27"/>
      <c r="P170" s="96" t="s">
        <v>105</v>
      </c>
      <c r="Q170" s="27" t="s">
        <v>437</v>
      </c>
      <c r="R170" s="96" t="s">
        <v>407</v>
      </c>
      <c r="S170" t="s">
        <v>95</v>
      </c>
    </row>
    <row r="171" spans="11:18" ht="12.75">
      <c r="K171" s="27"/>
      <c r="L171" s="27"/>
      <c r="M171" s="27"/>
      <c r="N171" s="27"/>
      <c r="O171" s="27"/>
      <c r="P171" s="96"/>
      <c r="Q171" s="27"/>
      <c r="R171" s="57"/>
    </row>
    <row r="172" spans="11:19" ht="12.75">
      <c r="K172" s="27"/>
      <c r="L172" s="27">
        <v>1</v>
      </c>
      <c r="M172" s="27">
        <v>1</v>
      </c>
      <c r="N172" s="27">
        <v>1</v>
      </c>
      <c r="O172" s="27"/>
      <c r="P172" s="96"/>
      <c r="Q172" s="27" t="s">
        <v>314</v>
      </c>
      <c r="R172" s="96" t="s">
        <v>411</v>
      </c>
      <c r="S172" t="s">
        <v>315</v>
      </c>
    </row>
    <row r="173" spans="11:12" ht="12.75">
      <c r="K173" s="27"/>
      <c r="L173" s="27"/>
    </row>
    <row r="174" spans="11:16" ht="12.75">
      <c r="K174" s="27"/>
      <c r="L174" s="27"/>
      <c r="M174" s="27"/>
      <c r="N174" s="27"/>
      <c r="O174" s="27"/>
      <c r="P174" s="96"/>
    </row>
    <row r="175" spans="11:19" ht="12.75">
      <c r="K175" s="27"/>
      <c r="L175" s="27"/>
      <c r="P175" s="96" t="s">
        <v>101</v>
      </c>
      <c r="Q175" s="27" t="s">
        <v>415</v>
      </c>
      <c r="R175" s="96" t="s">
        <v>412</v>
      </c>
      <c r="S175" t="s">
        <v>801</v>
      </c>
    </row>
    <row r="176" spans="11:19" ht="12.75">
      <c r="K176" s="27"/>
      <c r="L176" s="27"/>
      <c r="M176" s="27"/>
      <c r="N176" s="27"/>
      <c r="O176" s="27"/>
      <c r="P176" s="96"/>
      <c r="Q176" s="27"/>
      <c r="R176" s="96"/>
      <c r="S176" s="34"/>
    </row>
    <row r="180" ht="12.75">
      <c r="I180" s="1" t="s">
        <v>725</v>
      </c>
    </row>
    <row r="202" ht="12.75">
      <c r="I202" s="1" t="s">
        <v>724</v>
      </c>
    </row>
    <row r="222" ht="12.75">
      <c r="I222" s="1" t="s">
        <v>864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36"/>
  <sheetViews>
    <sheetView workbookViewId="0" topLeftCell="H1">
      <selection activeCell="K33" sqref="K33"/>
    </sheetView>
  </sheetViews>
  <sheetFormatPr defaultColWidth="9.140625" defaultRowHeight="12.75"/>
  <cols>
    <col min="1" max="10" width="10.421875" style="0" customWidth="1"/>
    <col min="11" max="11" width="11.7109375" style="0" customWidth="1"/>
    <col min="12" max="12" width="11.140625" style="0" customWidth="1"/>
    <col min="13" max="14" width="12.421875" style="0" customWidth="1"/>
    <col min="15" max="16" width="10.421875" style="0" customWidth="1"/>
    <col min="17" max="17" width="12.140625" style="0" customWidth="1"/>
    <col min="18" max="21" width="10.421875" style="0" customWidth="1"/>
    <col min="22" max="22" width="3.28125" style="0" customWidth="1"/>
    <col min="23" max="31" width="10.421875" style="0" customWidth="1"/>
    <col min="32" max="32" width="3.140625" style="0" customWidth="1"/>
    <col min="33" max="35" width="10.421875" style="0" customWidth="1"/>
    <col min="36" max="36" width="11.7109375" style="0" customWidth="1"/>
    <col min="37" max="16384" width="10.421875" style="0" customWidth="1"/>
  </cols>
  <sheetData>
    <row r="1" spans="1:35" ht="12.75">
      <c r="A1" s="1" t="s">
        <v>699</v>
      </c>
      <c r="B1" t="s">
        <v>743</v>
      </c>
      <c r="C1" s="8" t="s">
        <v>719</v>
      </c>
      <c r="D1" s="3" t="s">
        <v>700</v>
      </c>
      <c r="E1" t="s">
        <v>743</v>
      </c>
      <c r="F1" s="8" t="s">
        <v>719</v>
      </c>
      <c r="G1" s="3" t="s">
        <v>701</v>
      </c>
      <c r="H1" t="s">
        <v>743</v>
      </c>
      <c r="I1" s="8" t="s">
        <v>719</v>
      </c>
      <c r="J1" s="3" t="s">
        <v>702</v>
      </c>
      <c r="K1" t="s">
        <v>743</v>
      </c>
      <c r="L1" s="8" t="s">
        <v>719</v>
      </c>
      <c r="M1" s="3" t="s">
        <v>706</v>
      </c>
      <c r="N1" t="s">
        <v>743</v>
      </c>
      <c r="O1" s="8" t="s">
        <v>719</v>
      </c>
      <c r="P1" s="3" t="s">
        <v>707</v>
      </c>
      <c r="Q1" t="s">
        <v>743</v>
      </c>
      <c r="R1" s="8" t="s">
        <v>719</v>
      </c>
      <c r="S1" s="3" t="s">
        <v>710</v>
      </c>
      <c r="T1" t="s">
        <v>743</v>
      </c>
      <c r="U1" s="8" t="s">
        <v>719</v>
      </c>
      <c r="V1" s="3"/>
      <c r="W1" s="3" t="s">
        <v>714</v>
      </c>
      <c r="X1" t="s">
        <v>743</v>
      </c>
      <c r="Y1" s="8" t="s">
        <v>719</v>
      </c>
      <c r="Z1" s="15" t="s">
        <v>711</v>
      </c>
      <c r="AA1" t="s">
        <v>743</v>
      </c>
      <c r="AB1" s="8" t="s">
        <v>719</v>
      </c>
      <c r="AC1" s="15" t="s">
        <v>712</v>
      </c>
      <c r="AD1" t="s">
        <v>743</v>
      </c>
      <c r="AE1" s="8" t="s">
        <v>719</v>
      </c>
      <c r="AF1" s="15"/>
      <c r="AG1" s="1" t="s">
        <v>721</v>
      </c>
      <c r="AH1" t="s">
        <v>743</v>
      </c>
      <c r="AI1" s="8" t="s">
        <v>719</v>
      </c>
    </row>
    <row r="2" spans="1:35" ht="12.75">
      <c r="A2" s="86" t="s">
        <v>570</v>
      </c>
      <c r="C2" s="8"/>
      <c r="D2" s="4"/>
      <c r="F2" s="8"/>
      <c r="G2" s="4"/>
      <c r="I2" s="8"/>
      <c r="J2" s="4"/>
      <c r="L2" s="8"/>
      <c r="M2" s="4"/>
      <c r="O2" s="8"/>
      <c r="P2" s="4"/>
      <c r="R2" s="8"/>
      <c r="S2" s="4"/>
      <c r="U2" s="8"/>
      <c r="V2" s="4"/>
      <c r="AB2" s="8"/>
      <c r="AC2" s="4"/>
      <c r="AE2" s="8"/>
      <c r="AF2" s="4"/>
      <c r="AG2" s="24" t="s">
        <v>722</v>
      </c>
      <c r="AI2" s="8"/>
    </row>
    <row r="3" spans="1:35" ht="12.75">
      <c r="A3" s="8">
        <v>0</v>
      </c>
      <c r="B3" s="8">
        <v>155</v>
      </c>
      <c r="C3" s="7">
        <f aca="true" t="shared" si="0" ref="C3:C18">B3*1.688</f>
        <v>261.64</v>
      </c>
      <c r="D3" s="8">
        <v>0</v>
      </c>
      <c r="E3" s="8">
        <v>231</v>
      </c>
      <c r="F3" s="7">
        <f aca="true" t="shared" si="1" ref="F3:F18">E3*1.688</f>
        <v>389.928</v>
      </c>
      <c r="G3" s="8">
        <v>0</v>
      </c>
      <c r="H3" s="7">
        <v>286</v>
      </c>
      <c r="I3" s="7">
        <f>H3*1.688</f>
        <v>482.768</v>
      </c>
      <c r="J3" s="8">
        <v>0</v>
      </c>
      <c r="K3" s="7">
        <v>328</v>
      </c>
      <c r="L3" s="7">
        <f>K3*1.688</f>
        <v>553.664</v>
      </c>
      <c r="M3" s="8">
        <v>0</v>
      </c>
      <c r="N3" s="7">
        <v>370</v>
      </c>
      <c r="O3" s="7">
        <f>N3*1.688</f>
        <v>624.56</v>
      </c>
      <c r="P3" s="8">
        <v>0</v>
      </c>
      <c r="Q3" s="7">
        <v>410</v>
      </c>
      <c r="R3" s="7">
        <f aca="true" t="shared" si="2" ref="R3:R11">Q3*1.688</f>
        <v>692.0799999999999</v>
      </c>
      <c r="S3" s="8">
        <v>0</v>
      </c>
      <c r="T3" s="7">
        <v>476</v>
      </c>
      <c r="U3" s="7">
        <f aca="true" t="shared" si="3" ref="U3:U11">T3*1.688</f>
        <v>803.4879999999999</v>
      </c>
      <c r="V3" s="8"/>
      <c r="W3" s="8">
        <v>0</v>
      </c>
      <c r="X3" s="8">
        <f aca="true" t="shared" si="4" ref="X3:X9">B3-10</f>
        <v>145</v>
      </c>
      <c r="Y3" s="7">
        <f aca="true" t="shared" si="5" ref="Y3:Y18">X3*1.688</f>
        <v>244.76</v>
      </c>
      <c r="Z3" s="8">
        <v>0</v>
      </c>
      <c r="AA3" s="7">
        <f>B3*1.05</f>
        <v>162.75</v>
      </c>
      <c r="AB3" s="7">
        <f>AA3*1.688</f>
        <v>274.722</v>
      </c>
      <c r="AC3" s="8">
        <v>0</v>
      </c>
      <c r="AD3" s="7">
        <f>E3*1.05</f>
        <v>242.55</v>
      </c>
      <c r="AE3" s="7">
        <f>AD3*1.688</f>
        <v>409.4244</v>
      </c>
      <c r="AF3" s="8"/>
      <c r="AG3" s="8">
        <v>0</v>
      </c>
      <c r="AH3" s="8">
        <v>155</v>
      </c>
      <c r="AI3" s="7">
        <f aca="true" t="shared" si="6" ref="AI3:AI18">AH3*1.688</f>
        <v>261.64</v>
      </c>
    </row>
    <row r="4" spans="1:35" ht="12.75">
      <c r="A4" s="6">
        <v>10000</v>
      </c>
      <c r="B4" s="38">
        <v>178</v>
      </c>
      <c r="C4" s="7">
        <f t="shared" si="0"/>
        <v>300.464</v>
      </c>
      <c r="D4" s="6">
        <v>10000</v>
      </c>
      <c r="E4" s="33">
        <v>266</v>
      </c>
      <c r="F4" s="7">
        <f t="shared" si="1"/>
        <v>449.008</v>
      </c>
      <c r="G4" s="6">
        <v>10000</v>
      </c>
      <c r="H4" s="38">
        <v>324</v>
      </c>
      <c r="I4" s="7">
        <f aca="true" t="shared" si="7" ref="I4:I9">H4*1.688</f>
        <v>546.912</v>
      </c>
      <c r="J4" s="6">
        <v>10000</v>
      </c>
      <c r="K4" s="51">
        <v>377</v>
      </c>
      <c r="L4" s="7">
        <f aca="true" t="shared" si="8" ref="L4:L14">K4*1.688</f>
        <v>636.376</v>
      </c>
      <c r="M4" s="6">
        <v>10000</v>
      </c>
      <c r="N4" s="51">
        <v>472</v>
      </c>
      <c r="O4" s="7">
        <f aca="true" t="shared" si="9" ref="O4:O14">N4*1.688</f>
        <v>796.736</v>
      </c>
      <c r="P4" s="6">
        <v>10000</v>
      </c>
      <c r="Q4" s="51">
        <v>523</v>
      </c>
      <c r="R4" s="7">
        <f t="shared" si="2"/>
        <v>882.824</v>
      </c>
      <c r="S4" s="6">
        <v>10000</v>
      </c>
      <c r="T4" s="51">
        <v>580</v>
      </c>
      <c r="U4" s="7">
        <f t="shared" si="3"/>
        <v>979.04</v>
      </c>
      <c r="V4" s="6"/>
      <c r="W4" s="6">
        <v>10000</v>
      </c>
      <c r="X4" s="8">
        <f t="shared" si="4"/>
        <v>168</v>
      </c>
      <c r="Y4" s="7">
        <f t="shared" si="5"/>
        <v>283.584</v>
      </c>
      <c r="Z4" s="6">
        <v>10000</v>
      </c>
      <c r="AA4" s="7">
        <f aca="true" t="shared" si="10" ref="AA4:AA9">B4*1.05</f>
        <v>186.9</v>
      </c>
      <c r="AB4" s="7">
        <f aca="true" t="shared" si="11" ref="AB4:AB18">AA4*1.688</f>
        <v>315.4872</v>
      </c>
      <c r="AC4" s="6">
        <v>10000</v>
      </c>
      <c r="AD4" s="7">
        <f aca="true" t="shared" si="12" ref="AD4:AD9">E4*1.05</f>
        <v>279.3</v>
      </c>
      <c r="AE4" s="56">
        <f aca="true" t="shared" si="13" ref="AE4:AE18">AD4*1.688</f>
        <v>471.4584</v>
      </c>
      <c r="AF4" s="6"/>
      <c r="AG4" s="6">
        <v>10000</v>
      </c>
      <c r="AH4" s="38">
        <v>178</v>
      </c>
      <c r="AI4" s="7">
        <f t="shared" si="6"/>
        <v>300.464</v>
      </c>
    </row>
    <row r="5" spans="1:35" ht="12.75">
      <c r="A5" s="6">
        <v>20000</v>
      </c>
      <c r="B5" s="38">
        <v>215</v>
      </c>
      <c r="C5" s="7">
        <f t="shared" si="0"/>
        <v>362.92</v>
      </c>
      <c r="D5" s="6">
        <v>20000</v>
      </c>
      <c r="E5" s="38">
        <v>313</v>
      </c>
      <c r="F5" s="7">
        <f t="shared" si="1"/>
        <v>528.3439999999999</v>
      </c>
      <c r="G5" s="6">
        <v>20000</v>
      </c>
      <c r="H5" s="38">
        <v>399</v>
      </c>
      <c r="I5" s="7">
        <f t="shared" si="7"/>
        <v>673.512</v>
      </c>
      <c r="J5" s="6">
        <v>20000</v>
      </c>
      <c r="K5" s="51">
        <v>479</v>
      </c>
      <c r="L5" s="7">
        <f t="shared" si="8"/>
        <v>808.552</v>
      </c>
      <c r="M5" s="6">
        <v>20000</v>
      </c>
      <c r="N5" s="51">
        <v>546</v>
      </c>
      <c r="O5" s="7">
        <f t="shared" si="9"/>
        <v>921.648</v>
      </c>
      <c r="P5" s="6">
        <v>20000</v>
      </c>
      <c r="Q5" s="51">
        <v>626</v>
      </c>
      <c r="R5" s="7">
        <f t="shared" si="2"/>
        <v>1056.6879999999999</v>
      </c>
      <c r="S5" s="6">
        <v>20000</v>
      </c>
      <c r="T5" s="51">
        <v>688</v>
      </c>
      <c r="U5" s="7">
        <f t="shared" si="3"/>
        <v>1161.344</v>
      </c>
      <c r="V5" s="6"/>
      <c r="W5" s="6">
        <v>20000</v>
      </c>
      <c r="X5" s="8">
        <f t="shared" si="4"/>
        <v>205</v>
      </c>
      <c r="Y5" s="7">
        <f t="shared" si="5"/>
        <v>346.03999999999996</v>
      </c>
      <c r="Z5" s="6">
        <v>20000</v>
      </c>
      <c r="AA5" s="7">
        <f t="shared" si="10"/>
        <v>225.75</v>
      </c>
      <c r="AB5" s="7">
        <f t="shared" si="11"/>
        <v>381.066</v>
      </c>
      <c r="AC5" s="6">
        <v>20000</v>
      </c>
      <c r="AD5" s="7">
        <f t="shared" si="12"/>
        <v>328.65000000000003</v>
      </c>
      <c r="AE5" s="56">
        <f t="shared" si="13"/>
        <v>554.7612</v>
      </c>
      <c r="AF5" s="6"/>
      <c r="AG5" s="6">
        <v>20000</v>
      </c>
      <c r="AH5" s="38">
        <v>215</v>
      </c>
      <c r="AI5" s="7">
        <f t="shared" si="6"/>
        <v>362.92</v>
      </c>
    </row>
    <row r="6" spans="1:35" ht="12.75">
      <c r="A6" s="6">
        <v>30000</v>
      </c>
      <c r="B6" s="38">
        <v>271</v>
      </c>
      <c r="C6" s="7">
        <f t="shared" si="0"/>
        <v>457.448</v>
      </c>
      <c r="D6" s="6">
        <v>30000</v>
      </c>
      <c r="E6" s="38">
        <v>388</v>
      </c>
      <c r="F6" s="7">
        <f t="shared" si="1"/>
        <v>654.944</v>
      </c>
      <c r="G6" s="6">
        <v>30000</v>
      </c>
      <c r="H6" s="38">
        <v>506</v>
      </c>
      <c r="I6" s="7">
        <f t="shared" si="7"/>
        <v>854.1279999999999</v>
      </c>
      <c r="J6" s="6">
        <v>30000</v>
      </c>
      <c r="K6" s="51">
        <v>612</v>
      </c>
      <c r="L6" s="7">
        <f>K6*1.688</f>
        <v>1033.056</v>
      </c>
      <c r="M6" s="6">
        <v>30000</v>
      </c>
      <c r="N6" s="51">
        <v>718</v>
      </c>
      <c r="O6" s="7">
        <f t="shared" si="9"/>
        <v>1211.984</v>
      </c>
      <c r="P6" s="6">
        <v>30000</v>
      </c>
      <c r="Q6" s="51">
        <v>836</v>
      </c>
      <c r="R6" s="7">
        <f t="shared" si="2"/>
        <v>1411.168</v>
      </c>
      <c r="S6" s="6">
        <v>30000</v>
      </c>
      <c r="T6" s="51">
        <v>990</v>
      </c>
      <c r="U6" s="7">
        <f t="shared" si="3"/>
        <v>1671.12</v>
      </c>
      <c r="V6" s="13"/>
      <c r="W6" s="6">
        <v>30000</v>
      </c>
      <c r="X6" s="8">
        <f t="shared" si="4"/>
        <v>261</v>
      </c>
      <c r="Y6" s="7">
        <f t="shared" si="5"/>
        <v>440.568</v>
      </c>
      <c r="Z6" s="6">
        <v>30000</v>
      </c>
      <c r="AA6" s="7">
        <f t="shared" si="10"/>
        <v>284.55</v>
      </c>
      <c r="AB6" s="7">
        <f t="shared" si="11"/>
        <v>480.3204</v>
      </c>
      <c r="AC6" s="6">
        <v>30000</v>
      </c>
      <c r="AD6" s="7">
        <f t="shared" si="12"/>
        <v>407.40000000000003</v>
      </c>
      <c r="AE6" s="56">
        <f t="shared" si="13"/>
        <v>687.6912</v>
      </c>
      <c r="AF6" s="6"/>
      <c r="AG6" s="6">
        <v>30000</v>
      </c>
      <c r="AH6" s="38">
        <v>271</v>
      </c>
      <c r="AI6" s="7">
        <f t="shared" si="6"/>
        <v>457.448</v>
      </c>
    </row>
    <row r="7" spans="1:35" ht="12.75">
      <c r="A7" s="6">
        <v>40000</v>
      </c>
      <c r="B7" s="38">
        <v>372</v>
      </c>
      <c r="C7" s="7">
        <f t="shared" si="0"/>
        <v>627.936</v>
      </c>
      <c r="D7" s="6">
        <v>40000</v>
      </c>
      <c r="E7" s="38">
        <v>493</v>
      </c>
      <c r="F7" s="7">
        <f t="shared" si="1"/>
        <v>832.184</v>
      </c>
      <c r="G7" s="6">
        <v>40000</v>
      </c>
      <c r="H7" s="38">
        <v>676</v>
      </c>
      <c r="I7" s="7">
        <f t="shared" si="7"/>
        <v>1141.088</v>
      </c>
      <c r="J7" s="6">
        <v>40000</v>
      </c>
      <c r="K7" s="51">
        <v>871</v>
      </c>
      <c r="L7" s="7">
        <f>K7*1.688</f>
        <v>1470.248</v>
      </c>
      <c r="M7" s="6">
        <v>40000</v>
      </c>
      <c r="N7" s="51">
        <v>1101</v>
      </c>
      <c r="O7" s="7">
        <f t="shared" si="9"/>
        <v>1858.4879999999998</v>
      </c>
      <c r="P7" s="13">
        <v>36000</v>
      </c>
      <c r="Q7" s="38">
        <v>1216</v>
      </c>
      <c r="R7" s="7">
        <f t="shared" si="2"/>
        <v>2052.6079999999997</v>
      </c>
      <c r="S7" s="6">
        <v>31600</v>
      </c>
      <c r="T7" s="2">
        <f>((T8-T6)/2)+T6</f>
        <v>1072.5</v>
      </c>
      <c r="U7" s="7">
        <f t="shared" si="3"/>
        <v>1810.3799999999999</v>
      </c>
      <c r="V7" s="6"/>
      <c r="W7" s="6">
        <v>40000</v>
      </c>
      <c r="X7" s="8">
        <f t="shared" si="4"/>
        <v>362</v>
      </c>
      <c r="Y7" s="7">
        <f t="shared" si="5"/>
        <v>611.0559999999999</v>
      </c>
      <c r="Z7" s="6">
        <v>40000</v>
      </c>
      <c r="AA7" s="7">
        <f t="shared" si="10"/>
        <v>390.6</v>
      </c>
      <c r="AB7" s="7">
        <f t="shared" si="11"/>
        <v>659.3328</v>
      </c>
      <c r="AC7" s="6">
        <v>40000</v>
      </c>
      <c r="AD7" s="7">
        <f t="shared" si="12"/>
        <v>517.65</v>
      </c>
      <c r="AE7" s="56">
        <f t="shared" si="13"/>
        <v>873.7932</v>
      </c>
      <c r="AF7" s="6"/>
      <c r="AG7" s="6">
        <v>40000</v>
      </c>
      <c r="AH7" s="38">
        <v>372</v>
      </c>
      <c r="AI7" s="7">
        <f t="shared" si="6"/>
        <v>627.936</v>
      </c>
    </row>
    <row r="8" spans="1:35" ht="12.75">
      <c r="A8" s="6">
        <v>50000</v>
      </c>
      <c r="B8" s="38">
        <v>676</v>
      </c>
      <c r="C8" s="7">
        <f t="shared" si="0"/>
        <v>1141.088</v>
      </c>
      <c r="D8" s="6">
        <v>50000</v>
      </c>
      <c r="E8" s="38">
        <v>699</v>
      </c>
      <c r="F8" s="7">
        <f t="shared" si="1"/>
        <v>1179.912</v>
      </c>
      <c r="G8" s="6">
        <v>50000</v>
      </c>
      <c r="H8" s="38">
        <v>1078</v>
      </c>
      <c r="I8" s="7">
        <f t="shared" si="7"/>
        <v>1819.664</v>
      </c>
      <c r="J8" s="6">
        <v>43500</v>
      </c>
      <c r="K8" s="2">
        <f>((K9-K7)/2)+K7</f>
        <v>1066</v>
      </c>
      <c r="L8" s="7">
        <f t="shared" si="8"/>
        <v>1799.408</v>
      </c>
      <c r="M8" s="6">
        <v>41300</v>
      </c>
      <c r="N8" s="2">
        <f>((N9-N7)/2)+N7</f>
        <v>1181</v>
      </c>
      <c r="O8" s="7">
        <f t="shared" si="9"/>
        <v>1993.528</v>
      </c>
      <c r="P8" s="13">
        <v>30000</v>
      </c>
      <c r="Q8" s="38">
        <v>1155</v>
      </c>
      <c r="R8" s="7">
        <f t="shared" si="2"/>
        <v>1949.6399999999999</v>
      </c>
      <c r="S8" s="13">
        <v>30000</v>
      </c>
      <c r="T8" s="38">
        <v>1155</v>
      </c>
      <c r="U8" s="7">
        <f t="shared" si="3"/>
        <v>1949.6399999999999</v>
      </c>
      <c r="V8" s="8"/>
      <c r="W8" s="6">
        <v>50000</v>
      </c>
      <c r="X8" s="8">
        <f t="shared" si="4"/>
        <v>666</v>
      </c>
      <c r="Y8" s="7">
        <f t="shared" si="5"/>
        <v>1124.2079999999999</v>
      </c>
      <c r="Z8" s="6">
        <v>50000</v>
      </c>
      <c r="AA8" s="7">
        <f t="shared" si="10"/>
        <v>709.8000000000001</v>
      </c>
      <c r="AB8" s="7">
        <f t="shared" si="11"/>
        <v>1198.1424000000002</v>
      </c>
      <c r="AC8" s="6">
        <v>50000</v>
      </c>
      <c r="AD8" s="7">
        <f t="shared" si="12"/>
        <v>733.95</v>
      </c>
      <c r="AE8" s="56">
        <f t="shared" si="13"/>
        <v>1238.9076</v>
      </c>
      <c r="AF8" s="6"/>
      <c r="AG8" s="6">
        <v>50000</v>
      </c>
      <c r="AH8" s="38">
        <v>676</v>
      </c>
      <c r="AI8" s="7">
        <f t="shared" si="6"/>
        <v>1141.088</v>
      </c>
    </row>
    <row r="9" spans="1:35" ht="12.75">
      <c r="A9" s="6">
        <v>60000</v>
      </c>
      <c r="B9" s="33">
        <v>1101</v>
      </c>
      <c r="C9" s="7">
        <f t="shared" si="0"/>
        <v>1858.4879999999998</v>
      </c>
      <c r="D9" s="6">
        <v>60000</v>
      </c>
      <c r="E9" s="2">
        <v>1101</v>
      </c>
      <c r="F9" s="7">
        <f t="shared" si="1"/>
        <v>1858.4879999999998</v>
      </c>
      <c r="G9" s="6">
        <v>52500</v>
      </c>
      <c r="H9" s="2">
        <f>((H10-H8)/2)+H8</f>
        <v>1255.5</v>
      </c>
      <c r="I9" s="7">
        <f t="shared" si="7"/>
        <v>2119.284</v>
      </c>
      <c r="J9" s="6">
        <v>40000</v>
      </c>
      <c r="K9" s="38">
        <v>1261</v>
      </c>
      <c r="L9" s="7">
        <f t="shared" si="8"/>
        <v>2128.5679999999998</v>
      </c>
      <c r="M9" s="6">
        <v>40000</v>
      </c>
      <c r="N9" s="38">
        <v>1261</v>
      </c>
      <c r="O9" s="7">
        <f t="shared" si="9"/>
        <v>2128.5679999999998</v>
      </c>
      <c r="P9" s="13">
        <v>20000</v>
      </c>
      <c r="Q9" s="38">
        <v>1053</v>
      </c>
      <c r="R9" s="7">
        <f t="shared" si="2"/>
        <v>1777.464</v>
      </c>
      <c r="S9" s="13">
        <v>20000</v>
      </c>
      <c r="T9" s="38">
        <v>1053</v>
      </c>
      <c r="U9" s="7">
        <f t="shared" si="3"/>
        <v>1777.464</v>
      </c>
      <c r="V9" s="13"/>
      <c r="W9" s="6">
        <v>60000</v>
      </c>
      <c r="X9" s="8">
        <f t="shared" si="4"/>
        <v>1091</v>
      </c>
      <c r="Y9" s="7">
        <f t="shared" si="5"/>
        <v>1841.608</v>
      </c>
      <c r="Z9" s="6">
        <v>60000</v>
      </c>
      <c r="AA9" s="7">
        <f t="shared" si="10"/>
        <v>1156.05</v>
      </c>
      <c r="AB9" s="7">
        <f t="shared" si="11"/>
        <v>1951.4124</v>
      </c>
      <c r="AC9" s="6">
        <v>60000</v>
      </c>
      <c r="AD9" s="7">
        <f t="shared" si="12"/>
        <v>1156.05</v>
      </c>
      <c r="AE9" s="7">
        <f t="shared" si="13"/>
        <v>1951.4124</v>
      </c>
      <c r="AF9" s="13"/>
      <c r="AG9" s="6">
        <v>60000</v>
      </c>
      <c r="AH9" s="33">
        <v>1101</v>
      </c>
      <c r="AI9" s="7">
        <f t="shared" si="6"/>
        <v>1858.4879999999998</v>
      </c>
    </row>
    <row r="10" spans="1:35" ht="12.75">
      <c r="A10" s="6">
        <v>62300</v>
      </c>
      <c r="B10" s="33">
        <v>1330</v>
      </c>
      <c r="C10" s="7">
        <f t="shared" si="0"/>
        <v>2245.04</v>
      </c>
      <c r="D10" s="6">
        <v>62300</v>
      </c>
      <c r="E10" s="38">
        <v>1330</v>
      </c>
      <c r="F10" s="7">
        <f t="shared" si="1"/>
        <v>2245.04</v>
      </c>
      <c r="G10" s="6">
        <v>50000</v>
      </c>
      <c r="H10" s="38">
        <v>1433</v>
      </c>
      <c r="I10" s="7">
        <f aca="true" t="shared" si="14" ref="I10:I16">H10*1.688</f>
        <v>2418.904</v>
      </c>
      <c r="J10" s="13">
        <v>36000</v>
      </c>
      <c r="K10" s="38">
        <v>1216</v>
      </c>
      <c r="L10" s="7">
        <f t="shared" si="8"/>
        <v>2052.6079999999997</v>
      </c>
      <c r="M10" s="13">
        <v>36000</v>
      </c>
      <c r="N10" s="38">
        <v>1216</v>
      </c>
      <c r="O10" s="7">
        <f t="shared" si="9"/>
        <v>2052.6079999999997</v>
      </c>
      <c r="P10" s="13">
        <v>10000</v>
      </c>
      <c r="Q10" s="38">
        <v>932</v>
      </c>
      <c r="R10" s="7">
        <f t="shared" si="2"/>
        <v>1573.216</v>
      </c>
      <c r="S10" s="13">
        <v>10000</v>
      </c>
      <c r="T10" s="38">
        <v>932</v>
      </c>
      <c r="U10" s="7">
        <f t="shared" si="3"/>
        <v>1573.216</v>
      </c>
      <c r="V10" s="13"/>
      <c r="W10" s="6">
        <v>62300</v>
      </c>
      <c r="X10" s="8">
        <f aca="true" t="shared" si="15" ref="X10:X18">B10+10</f>
        <v>1340</v>
      </c>
      <c r="Y10" s="7">
        <f t="shared" si="5"/>
        <v>2261.92</v>
      </c>
      <c r="Z10" s="6">
        <v>62300</v>
      </c>
      <c r="AA10" s="7">
        <f>B10</f>
        <v>1330</v>
      </c>
      <c r="AB10" s="7">
        <f t="shared" si="11"/>
        <v>2245.04</v>
      </c>
      <c r="AC10" s="6">
        <v>62300</v>
      </c>
      <c r="AD10" s="7">
        <f>E10</f>
        <v>1330</v>
      </c>
      <c r="AE10" s="56">
        <f t="shared" si="13"/>
        <v>2245.04</v>
      </c>
      <c r="AF10" s="13"/>
      <c r="AG10" s="6">
        <v>62300</v>
      </c>
      <c r="AH10" s="33">
        <v>1330</v>
      </c>
      <c r="AI10" s="7">
        <f t="shared" si="6"/>
        <v>2245.04</v>
      </c>
    </row>
    <row r="11" spans="1:35" ht="12.75">
      <c r="A11" s="6">
        <v>60000</v>
      </c>
      <c r="B11" s="33">
        <v>1433</v>
      </c>
      <c r="C11" s="7">
        <f t="shared" si="0"/>
        <v>2418.904</v>
      </c>
      <c r="D11" s="6">
        <v>60000</v>
      </c>
      <c r="E11" s="38">
        <v>1433</v>
      </c>
      <c r="F11" s="7">
        <f t="shared" si="1"/>
        <v>2418.904</v>
      </c>
      <c r="G11" s="6">
        <v>40000</v>
      </c>
      <c r="H11" s="38">
        <v>1261</v>
      </c>
      <c r="I11" s="7">
        <f t="shared" si="14"/>
        <v>2128.5679999999998</v>
      </c>
      <c r="J11" s="13">
        <v>30000</v>
      </c>
      <c r="K11" s="38">
        <v>1155</v>
      </c>
      <c r="L11" s="7">
        <f t="shared" si="8"/>
        <v>1949.6399999999999</v>
      </c>
      <c r="M11" s="13">
        <v>30000</v>
      </c>
      <c r="N11" s="38">
        <v>1155</v>
      </c>
      <c r="O11" s="7">
        <f t="shared" si="9"/>
        <v>1949.6399999999999</v>
      </c>
      <c r="P11" s="8">
        <v>0</v>
      </c>
      <c r="Q11" s="38">
        <v>793</v>
      </c>
      <c r="R11" s="7">
        <f t="shared" si="2"/>
        <v>1338.584</v>
      </c>
      <c r="S11" s="8">
        <v>0</v>
      </c>
      <c r="T11" s="38">
        <v>793</v>
      </c>
      <c r="U11" s="7">
        <f t="shared" si="3"/>
        <v>1338.584</v>
      </c>
      <c r="V11" s="13"/>
      <c r="W11" s="6">
        <v>60000</v>
      </c>
      <c r="X11" s="8">
        <f t="shared" si="15"/>
        <v>1443</v>
      </c>
      <c r="Y11" s="7">
        <f t="shared" si="5"/>
        <v>2435.784</v>
      </c>
      <c r="Z11" s="6">
        <v>60000</v>
      </c>
      <c r="AA11" s="7">
        <f>B11/1.05</f>
        <v>1364.7619047619048</v>
      </c>
      <c r="AB11" s="7">
        <f t="shared" si="11"/>
        <v>2303.7180952380954</v>
      </c>
      <c r="AC11" s="6">
        <v>60000</v>
      </c>
      <c r="AD11" s="7">
        <f>E11/1.05</f>
        <v>1364.7619047619048</v>
      </c>
      <c r="AE11" s="56">
        <f t="shared" si="13"/>
        <v>2303.7180952380954</v>
      </c>
      <c r="AF11" s="13"/>
      <c r="AG11" s="6">
        <v>60000</v>
      </c>
      <c r="AH11" s="33">
        <v>1433</v>
      </c>
      <c r="AI11" s="7">
        <f t="shared" si="6"/>
        <v>2418.904</v>
      </c>
    </row>
    <row r="12" spans="1:35" ht="12.75">
      <c r="A12" s="6">
        <v>50000</v>
      </c>
      <c r="B12" s="38">
        <v>1443</v>
      </c>
      <c r="C12" s="7">
        <f t="shared" si="0"/>
        <v>2435.784</v>
      </c>
      <c r="D12" s="6">
        <v>50000</v>
      </c>
      <c r="E12" s="38">
        <v>1433</v>
      </c>
      <c r="F12" s="7">
        <f t="shared" si="1"/>
        <v>2418.904</v>
      </c>
      <c r="G12" s="13">
        <v>36000</v>
      </c>
      <c r="H12" s="38">
        <v>1216</v>
      </c>
      <c r="I12" s="7">
        <f t="shared" si="14"/>
        <v>2052.6079999999997</v>
      </c>
      <c r="J12" s="13">
        <v>20000</v>
      </c>
      <c r="K12" s="38">
        <v>1053</v>
      </c>
      <c r="L12" s="7">
        <f t="shared" si="8"/>
        <v>1777.464</v>
      </c>
      <c r="M12" s="13">
        <v>20000</v>
      </c>
      <c r="N12" s="38">
        <v>1053</v>
      </c>
      <c r="O12" s="7">
        <f t="shared" si="9"/>
        <v>1777.464</v>
      </c>
      <c r="S12" s="13"/>
      <c r="T12" s="38"/>
      <c r="U12" s="7"/>
      <c r="W12" s="6">
        <v>50000</v>
      </c>
      <c r="X12" s="8">
        <f t="shared" si="15"/>
        <v>1453</v>
      </c>
      <c r="Y12" s="7">
        <f t="shared" si="5"/>
        <v>2452.6639999999998</v>
      </c>
      <c r="Z12" s="6">
        <v>50000</v>
      </c>
      <c r="AA12" s="7">
        <f aca="true" t="shared" si="16" ref="AA12:AA18">B12/1.05</f>
        <v>1374.2857142857142</v>
      </c>
      <c r="AB12" s="7">
        <f t="shared" si="11"/>
        <v>2319.7942857142857</v>
      </c>
      <c r="AC12" s="6">
        <v>50000</v>
      </c>
      <c r="AD12" s="7">
        <f aca="true" t="shared" si="17" ref="AD12:AD18">E12/1.05</f>
        <v>1364.7619047619048</v>
      </c>
      <c r="AE12" s="56">
        <f t="shared" si="13"/>
        <v>2303.7180952380954</v>
      </c>
      <c r="AF12" s="13"/>
      <c r="AG12" s="6">
        <v>50000</v>
      </c>
      <c r="AH12" s="38">
        <v>1433</v>
      </c>
      <c r="AI12" s="7">
        <f t="shared" si="6"/>
        <v>2418.904</v>
      </c>
    </row>
    <row r="13" spans="1:35" ht="12.75">
      <c r="A13" s="6">
        <v>40000</v>
      </c>
      <c r="B13" s="33">
        <v>1271</v>
      </c>
      <c r="C13" s="7">
        <f t="shared" si="0"/>
        <v>2145.448</v>
      </c>
      <c r="D13" s="6">
        <v>40000</v>
      </c>
      <c r="E13" s="38">
        <v>1261</v>
      </c>
      <c r="F13" s="7">
        <f t="shared" si="1"/>
        <v>2128.5679999999998</v>
      </c>
      <c r="G13" s="13">
        <v>30000</v>
      </c>
      <c r="H13" s="38">
        <v>1155</v>
      </c>
      <c r="I13" s="7">
        <f t="shared" si="14"/>
        <v>1949.6399999999999</v>
      </c>
      <c r="J13" s="13">
        <v>10000</v>
      </c>
      <c r="K13" s="38">
        <v>932</v>
      </c>
      <c r="L13" s="7">
        <f t="shared" si="8"/>
        <v>1573.216</v>
      </c>
      <c r="M13" s="13">
        <v>10000</v>
      </c>
      <c r="N13" s="38">
        <v>932</v>
      </c>
      <c r="O13" s="7">
        <f t="shared" si="9"/>
        <v>1573.216</v>
      </c>
      <c r="S13" s="13"/>
      <c r="T13" s="38"/>
      <c r="U13" s="7"/>
      <c r="W13" s="6">
        <v>40000</v>
      </c>
      <c r="X13" s="8">
        <f t="shared" si="15"/>
        <v>1281</v>
      </c>
      <c r="Y13" s="7">
        <f t="shared" si="5"/>
        <v>2162.328</v>
      </c>
      <c r="Z13" s="6">
        <v>40000</v>
      </c>
      <c r="AA13" s="7">
        <f t="shared" si="16"/>
        <v>1210.4761904761904</v>
      </c>
      <c r="AB13" s="7">
        <f t="shared" si="11"/>
        <v>2043.2838095238092</v>
      </c>
      <c r="AC13" s="6">
        <v>40000</v>
      </c>
      <c r="AD13" s="7">
        <f t="shared" si="17"/>
        <v>1200.952380952381</v>
      </c>
      <c r="AE13" s="7">
        <f t="shared" si="13"/>
        <v>2027.207619047619</v>
      </c>
      <c r="AF13" s="8"/>
      <c r="AG13" s="6">
        <v>40000</v>
      </c>
      <c r="AH13" s="33">
        <v>1261</v>
      </c>
      <c r="AI13" s="7">
        <f t="shared" si="6"/>
        <v>2128.5679999999998</v>
      </c>
    </row>
    <row r="14" spans="1:35" ht="12.75">
      <c r="A14" s="13">
        <v>36000</v>
      </c>
      <c r="B14" s="51">
        <v>1226</v>
      </c>
      <c r="C14" s="7">
        <f t="shared" si="0"/>
        <v>2069.488</v>
      </c>
      <c r="D14" s="13">
        <v>36000</v>
      </c>
      <c r="E14" s="38">
        <v>1216</v>
      </c>
      <c r="F14" s="7">
        <f t="shared" si="1"/>
        <v>2052.6079999999997</v>
      </c>
      <c r="G14" s="13">
        <v>20000</v>
      </c>
      <c r="H14" s="38">
        <v>1053</v>
      </c>
      <c r="I14" s="7">
        <f t="shared" si="14"/>
        <v>1777.464</v>
      </c>
      <c r="J14" s="8">
        <v>0</v>
      </c>
      <c r="K14" s="38">
        <v>793</v>
      </c>
      <c r="L14" s="7">
        <f t="shared" si="8"/>
        <v>1338.584</v>
      </c>
      <c r="M14" s="8">
        <v>0</v>
      </c>
      <c r="N14" s="38">
        <v>793</v>
      </c>
      <c r="O14" s="7">
        <f t="shared" si="9"/>
        <v>1338.584</v>
      </c>
      <c r="S14" s="8"/>
      <c r="T14" s="38"/>
      <c r="U14" s="7"/>
      <c r="W14" s="13">
        <v>36000</v>
      </c>
      <c r="X14" s="8">
        <f t="shared" si="15"/>
        <v>1236</v>
      </c>
      <c r="Y14" s="7">
        <f t="shared" si="5"/>
        <v>2086.368</v>
      </c>
      <c r="Z14" s="13">
        <v>36000</v>
      </c>
      <c r="AA14" s="7">
        <f t="shared" si="16"/>
        <v>1167.6190476190475</v>
      </c>
      <c r="AB14" s="7">
        <f t="shared" si="11"/>
        <v>1970.940952380952</v>
      </c>
      <c r="AC14" s="13">
        <v>36000</v>
      </c>
      <c r="AD14" s="7">
        <f t="shared" si="17"/>
        <v>1158.095238095238</v>
      </c>
      <c r="AE14" s="7">
        <f t="shared" si="13"/>
        <v>1954.8647619047617</v>
      </c>
      <c r="AG14" s="13">
        <v>36000</v>
      </c>
      <c r="AH14" s="51">
        <v>1216</v>
      </c>
      <c r="AI14" s="7">
        <f t="shared" si="6"/>
        <v>2052.6079999999997</v>
      </c>
    </row>
    <row r="15" spans="1:35" ht="12.75">
      <c r="A15" s="13">
        <v>30000</v>
      </c>
      <c r="B15" s="33">
        <v>1165</v>
      </c>
      <c r="C15" s="7">
        <f t="shared" si="0"/>
        <v>1966.52</v>
      </c>
      <c r="D15" s="13">
        <v>30000</v>
      </c>
      <c r="E15" s="38">
        <v>1155</v>
      </c>
      <c r="F15" s="7">
        <f t="shared" si="1"/>
        <v>1949.6399999999999</v>
      </c>
      <c r="G15" s="13">
        <v>10000</v>
      </c>
      <c r="H15" s="38">
        <v>932</v>
      </c>
      <c r="I15" s="7">
        <f t="shared" si="14"/>
        <v>1573.216</v>
      </c>
      <c r="W15" s="13">
        <v>30000</v>
      </c>
      <c r="X15" s="8">
        <f t="shared" si="15"/>
        <v>1175</v>
      </c>
      <c r="Y15" s="7">
        <f t="shared" si="5"/>
        <v>1983.3999999999999</v>
      </c>
      <c r="Z15" s="13">
        <v>30000</v>
      </c>
      <c r="AA15" s="7">
        <f t="shared" si="16"/>
        <v>1109.5238095238094</v>
      </c>
      <c r="AB15" s="7">
        <f t="shared" si="11"/>
        <v>1872.8761904761902</v>
      </c>
      <c r="AC15" s="13">
        <v>30000</v>
      </c>
      <c r="AD15" s="7">
        <f t="shared" si="17"/>
        <v>1100</v>
      </c>
      <c r="AE15" s="7">
        <f t="shared" si="13"/>
        <v>1856.8</v>
      </c>
      <c r="AG15" s="13">
        <v>30000</v>
      </c>
      <c r="AH15" s="33">
        <v>1155</v>
      </c>
      <c r="AI15" s="7">
        <f t="shared" si="6"/>
        <v>1949.6399999999999</v>
      </c>
    </row>
    <row r="16" spans="1:35" ht="12.75">
      <c r="A16" s="13">
        <v>20000</v>
      </c>
      <c r="B16" s="38">
        <v>1063</v>
      </c>
      <c r="C16" s="7">
        <f t="shared" si="0"/>
        <v>1794.344</v>
      </c>
      <c r="D16" s="13">
        <v>20000</v>
      </c>
      <c r="E16" s="38">
        <v>1053</v>
      </c>
      <c r="F16" s="7">
        <f t="shared" si="1"/>
        <v>1777.464</v>
      </c>
      <c r="G16" s="8">
        <v>0</v>
      </c>
      <c r="H16" s="38">
        <v>793</v>
      </c>
      <c r="I16" s="7">
        <f t="shared" si="14"/>
        <v>1338.584</v>
      </c>
      <c r="W16" s="13">
        <v>20000</v>
      </c>
      <c r="X16" s="8">
        <f t="shared" si="15"/>
        <v>1073</v>
      </c>
      <c r="Y16" s="7">
        <f t="shared" si="5"/>
        <v>1811.224</v>
      </c>
      <c r="Z16" s="13">
        <v>20000</v>
      </c>
      <c r="AA16" s="7">
        <f t="shared" si="16"/>
        <v>1012.3809523809523</v>
      </c>
      <c r="AB16" s="7">
        <f t="shared" si="11"/>
        <v>1708.8990476190475</v>
      </c>
      <c r="AC16" s="13">
        <v>20000</v>
      </c>
      <c r="AD16" s="7">
        <f t="shared" si="17"/>
        <v>1002.8571428571428</v>
      </c>
      <c r="AE16" s="7">
        <f t="shared" si="13"/>
        <v>1692.822857142857</v>
      </c>
      <c r="AG16" s="13">
        <v>20000</v>
      </c>
      <c r="AH16" s="38">
        <v>1053</v>
      </c>
      <c r="AI16" s="7">
        <f t="shared" si="6"/>
        <v>1777.464</v>
      </c>
    </row>
    <row r="17" spans="1:35" ht="12.75">
      <c r="A17" s="13">
        <v>10000</v>
      </c>
      <c r="B17" s="38">
        <v>942</v>
      </c>
      <c r="C17" s="7">
        <f t="shared" si="0"/>
        <v>1590.096</v>
      </c>
      <c r="D17" s="13">
        <v>10000</v>
      </c>
      <c r="E17" s="38">
        <v>932</v>
      </c>
      <c r="F17" s="7">
        <f t="shared" si="1"/>
        <v>1573.216</v>
      </c>
      <c r="S17" s="26"/>
      <c r="W17" s="13">
        <v>10000</v>
      </c>
      <c r="X17" s="8">
        <f t="shared" si="15"/>
        <v>952</v>
      </c>
      <c r="Y17" s="7">
        <f t="shared" si="5"/>
        <v>1606.9759999999999</v>
      </c>
      <c r="Z17" s="13">
        <v>10000</v>
      </c>
      <c r="AA17" s="7">
        <f t="shared" si="16"/>
        <v>897.1428571428571</v>
      </c>
      <c r="AB17" s="7">
        <f t="shared" si="11"/>
        <v>1514.3771428571426</v>
      </c>
      <c r="AC17" s="13">
        <v>10000</v>
      </c>
      <c r="AD17" s="7">
        <f t="shared" si="17"/>
        <v>887.6190476190476</v>
      </c>
      <c r="AE17" s="7">
        <f t="shared" si="13"/>
        <v>1498.3009523809524</v>
      </c>
      <c r="AG17" s="13">
        <v>10000</v>
      </c>
      <c r="AH17" s="38">
        <v>932</v>
      </c>
      <c r="AI17" s="7">
        <f t="shared" si="6"/>
        <v>1573.216</v>
      </c>
    </row>
    <row r="18" spans="1:35" ht="12.75">
      <c r="A18" s="8">
        <v>0</v>
      </c>
      <c r="B18" s="8">
        <v>803</v>
      </c>
      <c r="C18" s="7">
        <f t="shared" si="0"/>
        <v>1355.464</v>
      </c>
      <c r="D18" s="8">
        <v>0</v>
      </c>
      <c r="E18" s="38">
        <v>793</v>
      </c>
      <c r="F18" s="7">
        <f t="shared" si="1"/>
        <v>1338.584</v>
      </c>
      <c r="K18" s="25" t="s">
        <v>343</v>
      </c>
      <c r="W18" s="8">
        <v>0</v>
      </c>
      <c r="X18" s="8">
        <f t="shared" si="15"/>
        <v>813</v>
      </c>
      <c r="Y18" s="7">
        <f t="shared" si="5"/>
        <v>1372.344</v>
      </c>
      <c r="Z18" s="8">
        <v>0</v>
      </c>
      <c r="AA18" s="7">
        <f t="shared" si="16"/>
        <v>764.7619047619047</v>
      </c>
      <c r="AB18" s="7">
        <f t="shared" si="11"/>
        <v>1290.918095238095</v>
      </c>
      <c r="AC18" s="8">
        <v>0</v>
      </c>
      <c r="AD18" s="7">
        <f t="shared" si="17"/>
        <v>755.2380952380952</v>
      </c>
      <c r="AE18" s="7">
        <f t="shared" si="13"/>
        <v>1274.8419047619045</v>
      </c>
      <c r="AG18" s="8">
        <v>0</v>
      </c>
      <c r="AH18" s="8">
        <v>793</v>
      </c>
      <c r="AI18" s="7">
        <f t="shared" si="6"/>
        <v>1338.584</v>
      </c>
    </row>
    <row r="20" spans="11:26" ht="12.75">
      <c r="K20" s="55" t="s">
        <v>582</v>
      </c>
      <c r="W20" s="25" t="s">
        <v>723</v>
      </c>
      <c r="X20" s="25"/>
      <c r="Y20" s="25"/>
      <c r="Z20" s="25"/>
    </row>
    <row r="21" spans="1:26" ht="12.75">
      <c r="A21" t="s">
        <v>742</v>
      </c>
      <c r="K21" s="55" t="s">
        <v>580</v>
      </c>
      <c r="N21" s="28"/>
      <c r="P21" s="14"/>
      <c r="W21" s="25" t="s">
        <v>730</v>
      </c>
      <c r="X21" s="25"/>
      <c r="Y21" s="25"/>
      <c r="Z21" s="25"/>
    </row>
    <row r="22" spans="11:26" ht="12.75">
      <c r="K22" s="55" t="s">
        <v>581</v>
      </c>
      <c r="W22" s="25"/>
      <c r="X22" s="25"/>
      <c r="Y22" s="25"/>
      <c r="Z22" s="25"/>
    </row>
    <row r="23" spans="11:26" ht="12.75">
      <c r="K23" t="s">
        <v>579</v>
      </c>
      <c r="W23" s="25"/>
      <c r="X23" s="25"/>
      <c r="Y23" s="25"/>
      <c r="Z23" s="25" t="s">
        <v>857</v>
      </c>
    </row>
    <row r="24" spans="1:26" ht="12.75">
      <c r="A24" s="33" t="s">
        <v>781</v>
      </c>
      <c r="W24" s="25"/>
      <c r="X24" s="25"/>
      <c r="Y24" s="25"/>
      <c r="Z24" s="25" t="s">
        <v>860</v>
      </c>
    </row>
    <row r="25" spans="23:26" ht="12.75">
      <c r="W25" s="25"/>
      <c r="X25" s="25"/>
      <c r="Y25" s="25"/>
      <c r="Z25" s="25" t="s">
        <v>858</v>
      </c>
    </row>
    <row r="26" spans="1:33" ht="12.75">
      <c r="A26" t="s">
        <v>715</v>
      </c>
      <c r="K26" s="11" t="s">
        <v>503</v>
      </c>
      <c r="L26" s="11" t="s">
        <v>570</v>
      </c>
      <c r="M26" s="11" t="s">
        <v>554</v>
      </c>
      <c r="N26" s="11" t="s">
        <v>577</v>
      </c>
      <c r="O26" s="11" t="s">
        <v>568</v>
      </c>
      <c r="V26" s="8"/>
      <c r="W26" s="25"/>
      <c r="X26" s="25"/>
      <c r="Y26" s="25"/>
      <c r="Z26" s="25" t="s">
        <v>859</v>
      </c>
      <c r="AA26" s="14"/>
      <c r="AB26" s="14"/>
      <c r="AC26" s="14"/>
      <c r="AD26" s="14"/>
      <c r="AE26" s="66"/>
      <c r="AF26" s="14"/>
      <c r="AG26" s="14"/>
    </row>
    <row r="27" spans="12:26" ht="12.75">
      <c r="L27" s="117" t="s">
        <v>583</v>
      </c>
      <c r="M27" s="27"/>
      <c r="N27" s="117" t="s">
        <v>583</v>
      </c>
      <c r="O27" s="27"/>
      <c r="P27" s="25"/>
      <c r="V27" s="22"/>
      <c r="W27" s="22"/>
      <c r="X27" s="8"/>
      <c r="Z27" s="8"/>
    </row>
    <row r="28" spans="11:26" ht="12.75">
      <c r="K28" s="127" t="s">
        <v>1020</v>
      </c>
      <c r="L28" s="69" t="s">
        <v>572</v>
      </c>
      <c r="M28" s="27" t="s">
        <v>564</v>
      </c>
      <c r="N28" s="27" t="s">
        <v>1006</v>
      </c>
      <c r="O28" s="27" t="s">
        <v>574</v>
      </c>
      <c r="P28" s="34" t="s">
        <v>393</v>
      </c>
      <c r="Q28" s="8"/>
      <c r="W28" s="8"/>
      <c r="X28" s="22"/>
      <c r="Z28" s="6"/>
    </row>
    <row r="29" spans="9:26" ht="12.75">
      <c r="I29" s="1" t="s">
        <v>699</v>
      </c>
      <c r="K29" s="27" t="s">
        <v>546</v>
      </c>
      <c r="L29" s="27" t="s">
        <v>546</v>
      </c>
      <c r="M29" s="27" t="s">
        <v>565</v>
      </c>
      <c r="N29" s="27" t="s">
        <v>546</v>
      </c>
      <c r="O29" s="27" t="s">
        <v>546</v>
      </c>
      <c r="P29" s="34" t="s">
        <v>394</v>
      </c>
      <c r="Q29" s="8"/>
      <c r="W29" s="7"/>
      <c r="X29" s="8"/>
      <c r="Z29" s="6"/>
    </row>
    <row r="30" spans="11:26" ht="12.75">
      <c r="K30" s="127" t="s">
        <v>1020</v>
      </c>
      <c r="L30" s="27" t="s">
        <v>563</v>
      </c>
      <c r="M30" s="27" t="s">
        <v>563</v>
      </c>
      <c r="N30" s="27" t="s">
        <v>1005</v>
      </c>
      <c r="O30" s="27" t="s">
        <v>563</v>
      </c>
      <c r="P30" s="27" t="s">
        <v>787</v>
      </c>
      <c r="U30" s="8"/>
      <c r="W30" s="7"/>
      <c r="X30" s="7"/>
      <c r="Z30" s="6"/>
    </row>
    <row r="31" spans="12:26" ht="12.75">
      <c r="L31" s="84" t="s">
        <v>593</v>
      </c>
      <c r="M31" s="23" t="s">
        <v>566</v>
      </c>
      <c r="N31" s="84" t="s">
        <v>593</v>
      </c>
      <c r="O31" s="84" t="s">
        <v>576</v>
      </c>
      <c r="P31" s="80"/>
      <c r="W31" s="7"/>
      <c r="X31" s="8"/>
      <c r="Z31" s="6"/>
    </row>
    <row r="32" spans="11:26" ht="12.75">
      <c r="K32" s="27"/>
      <c r="L32" s="69"/>
      <c r="M32" s="27"/>
      <c r="N32" s="27"/>
      <c r="O32" s="27"/>
      <c r="Q32" s="8"/>
      <c r="W32" s="7"/>
      <c r="X32" s="8"/>
      <c r="Z32" s="6"/>
    </row>
    <row r="33" spans="11:26" ht="12.75">
      <c r="K33" s="60"/>
      <c r="L33" s="60">
        <v>4998.8</v>
      </c>
      <c r="M33" s="60">
        <v>4998.8</v>
      </c>
      <c r="N33" s="60">
        <v>4993.7</v>
      </c>
      <c r="O33" s="60">
        <v>4998.8</v>
      </c>
      <c r="P33" t="s">
        <v>792</v>
      </c>
      <c r="Q33" s="8"/>
      <c r="R33" s="22"/>
      <c r="S33" s="8"/>
      <c r="T33" s="22"/>
      <c r="U33" s="22"/>
      <c r="W33" s="7"/>
      <c r="X33" s="8"/>
      <c r="Z33" s="6"/>
    </row>
    <row r="34" spans="11:26" ht="12.75">
      <c r="K34" s="72">
        <f>K33*6.5</f>
        <v>0</v>
      </c>
      <c r="L34" s="72">
        <f>L33*6.5</f>
        <v>32492.2</v>
      </c>
      <c r="M34" s="72">
        <f>M33*6.5</f>
        <v>32492.2</v>
      </c>
      <c r="N34" s="72">
        <f>N33*6.5</f>
        <v>32459.05</v>
      </c>
      <c r="O34" s="72">
        <f>O33*6.5</f>
        <v>32492.2</v>
      </c>
      <c r="P34" t="s">
        <v>542</v>
      </c>
      <c r="Q34" s="8"/>
      <c r="R34" s="24" t="s">
        <v>761</v>
      </c>
      <c r="S34" s="8"/>
      <c r="T34" s="8"/>
      <c r="U34" s="8"/>
      <c r="W34" s="7"/>
      <c r="X34" s="8"/>
      <c r="Z34" s="6"/>
    </row>
    <row r="35" spans="11:31" ht="12.75">
      <c r="K35" s="72">
        <f>K33*6.8</f>
        <v>0</v>
      </c>
      <c r="L35" s="72">
        <f>L33*6.8</f>
        <v>33991.840000000004</v>
      </c>
      <c r="M35" s="72">
        <f>M33*6.8</f>
        <v>33991.840000000004</v>
      </c>
      <c r="N35" s="72">
        <f>N33*6.8</f>
        <v>33957.159999999996</v>
      </c>
      <c r="O35" s="72">
        <f>O33*6.8</f>
        <v>33991.840000000004</v>
      </c>
      <c r="P35" t="s">
        <v>791</v>
      </c>
      <c r="R35" s="24" t="s">
        <v>762</v>
      </c>
      <c r="S35" s="8"/>
      <c r="T35" s="8"/>
      <c r="U35" s="7"/>
      <c r="W35" s="7"/>
      <c r="X35" s="8"/>
      <c r="AE35" s="57"/>
    </row>
    <row r="36" spans="11:24" ht="12.75">
      <c r="K36" s="127" t="s">
        <v>1020</v>
      </c>
      <c r="L36" s="23" t="s">
        <v>68</v>
      </c>
      <c r="M36" s="23" t="s">
        <v>573</v>
      </c>
      <c r="N36" s="23" t="s">
        <v>820</v>
      </c>
      <c r="O36" s="23" t="s">
        <v>575</v>
      </c>
      <c r="P36" s="24"/>
      <c r="R36" s="67"/>
      <c r="S36" s="8"/>
      <c r="T36" s="67"/>
      <c r="U36" s="7"/>
      <c r="W36" s="7"/>
      <c r="X36" s="8"/>
    </row>
    <row r="37" spans="11:24" ht="12.75">
      <c r="K37" s="27"/>
      <c r="L37" s="27"/>
      <c r="M37" s="27"/>
      <c r="N37" s="27"/>
      <c r="O37" s="27"/>
      <c r="R37" s="8"/>
      <c r="S37" s="8"/>
      <c r="T37" s="8"/>
      <c r="U37" s="7"/>
      <c r="W37" s="7"/>
      <c r="X37" s="8"/>
    </row>
    <row r="38" spans="11:24" ht="12.75">
      <c r="K38" s="27"/>
      <c r="L38" s="60">
        <v>5583.4</v>
      </c>
      <c r="N38" s="60">
        <v>5578</v>
      </c>
      <c r="O38" s="60"/>
      <c r="P38" t="s">
        <v>578</v>
      </c>
      <c r="W38" s="7"/>
      <c r="X38" s="8"/>
    </row>
    <row r="39" spans="11:24" ht="12.75">
      <c r="K39" s="27"/>
      <c r="L39" s="72">
        <f>L38*6.5</f>
        <v>36292.1</v>
      </c>
      <c r="N39" s="72">
        <f>N38*6.5</f>
        <v>36257</v>
      </c>
      <c r="O39" s="72"/>
      <c r="P39" t="s">
        <v>542</v>
      </c>
      <c r="W39" s="7"/>
      <c r="X39" s="8"/>
    </row>
    <row r="40" spans="11:24" ht="12.75">
      <c r="K40" s="27"/>
      <c r="L40" s="72">
        <f>L38*6.8</f>
        <v>37967.119999999995</v>
      </c>
      <c r="N40" s="72">
        <f>N38*6.8</f>
        <v>37930.4</v>
      </c>
      <c r="O40" s="72"/>
      <c r="P40" t="s">
        <v>791</v>
      </c>
      <c r="W40" s="7"/>
      <c r="X40" s="8"/>
    </row>
    <row r="41" spans="11:24" ht="12.75">
      <c r="K41" s="27"/>
      <c r="L41" s="23" t="s">
        <v>68</v>
      </c>
      <c r="N41" s="23" t="s">
        <v>820</v>
      </c>
      <c r="O41" s="23"/>
      <c r="P41" s="24"/>
      <c r="W41" s="7"/>
      <c r="X41" s="8"/>
    </row>
    <row r="42" ht="12.75">
      <c r="K42" s="27"/>
    </row>
    <row r="43" spans="11:24" ht="12.75">
      <c r="K43" s="27" t="s">
        <v>1021</v>
      </c>
      <c r="L43" s="27" t="s">
        <v>209</v>
      </c>
      <c r="M43" s="27" t="s">
        <v>209</v>
      </c>
      <c r="N43" s="27" t="s">
        <v>266</v>
      </c>
      <c r="O43" s="27" t="s">
        <v>592</v>
      </c>
      <c r="P43" t="s">
        <v>1022</v>
      </c>
      <c r="R43" s="22"/>
      <c r="S43" s="8"/>
      <c r="T43" s="22"/>
      <c r="U43" s="22"/>
      <c r="W43" s="7"/>
      <c r="X43" s="8"/>
    </row>
    <row r="44" spans="11:21" ht="12.75">
      <c r="K44" s="23" t="s">
        <v>543</v>
      </c>
      <c r="L44" s="23" t="s">
        <v>591</v>
      </c>
      <c r="M44" s="23" t="s">
        <v>560</v>
      </c>
      <c r="N44" s="23" t="s">
        <v>1016</v>
      </c>
      <c r="O44" s="23" t="s">
        <v>560</v>
      </c>
      <c r="P44" t="s">
        <v>1017</v>
      </c>
      <c r="R44" s="8"/>
      <c r="S44" s="8"/>
      <c r="T44" s="8"/>
      <c r="U44" s="7"/>
    </row>
    <row r="45" spans="11:22" ht="12.75">
      <c r="K45" s="27"/>
      <c r="N45" s="27"/>
      <c r="R45" s="67"/>
      <c r="S45" s="8"/>
      <c r="T45" s="67"/>
      <c r="U45" s="7"/>
      <c r="V45" s="8"/>
    </row>
    <row r="46" spans="11:22" ht="12.75">
      <c r="K46" s="27" t="s">
        <v>505</v>
      </c>
      <c r="L46" s="27" t="s">
        <v>695</v>
      </c>
      <c r="M46" s="27" t="s">
        <v>695</v>
      </c>
      <c r="N46" s="27" t="s">
        <v>1004</v>
      </c>
      <c r="O46" s="27" t="s">
        <v>695</v>
      </c>
      <c r="P46" t="s">
        <v>561</v>
      </c>
      <c r="Q46" s="8"/>
      <c r="R46" s="7"/>
      <c r="S46" s="8"/>
      <c r="T46" s="8"/>
      <c r="U46" s="7"/>
      <c r="V46" s="8"/>
    </row>
    <row r="47" spans="11:22" ht="12.75">
      <c r="K47" s="23" t="s">
        <v>809</v>
      </c>
      <c r="L47" s="23" t="s">
        <v>643</v>
      </c>
      <c r="M47" s="23" t="s">
        <v>809</v>
      </c>
      <c r="N47" s="23" t="s">
        <v>643</v>
      </c>
      <c r="O47" s="23" t="s">
        <v>643</v>
      </c>
      <c r="Q47" s="8"/>
      <c r="R47" s="22"/>
      <c r="S47" s="8"/>
      <c r="T47" s="22"/>
      <c r="U47" s="22"/>
      <c r="V47" s="8"/>
    </row>
    <row r="48" spans="14:21" ht="12.75">
      <c r="N48" s="27"/>
      <c r="R48" s="7"/>
      <c r="S48" s="8"/>
      <c r="T48" s="8"/>
      <c r="U48" s="7"/>
    </row>
    <row r="49" spans="11:21" ht="12.75">
      <c r="K49" s="39"/>
      <c r="L49" s="39" t="s">
        <v>558</v>
      </c>
      <c r="M49" s="39" t="s">
        <v>558</v>
      </c>
      <c r="N49" s="27" t="s">
        <v>1007</v>
      </c>
      <c r="O49" s="39" t="s">
        <v>558</v>
      </c>
      <c r="P49" t="s">
        <v>1</v>
      </c>
      <c r="R49" s="67"/>
      <c r="S49" s="8"/>
      <c r="T49" s="67"/>
      <c r="U49" s="7"/>
    </row>
    <row r="50" spans="9:16" ht="12.75">
      <c r="I50" s="1" t="s">
        <v>700</v>
      </c>
      <c r="L50" s="27" t="s">
        <v>1009</v>
      </c>
      <c r="M50" s="27" t="s">
        <v>1009</v>
      </c>
      <c r="N50" s="27" t="s">
        <v>1008</v>
      </c>
      <c r="O50" s="27" t="s">
        <v>1009</v>
      </c>
      <c r="P50" t="s">
        <v>555</v>
      </c>
    </row>
    <row r="51" spans="11:21" ht="12.75">
      <c r="K51" s="23"/>
      <c r="L51" s="23" t="s">
        <v>854</v>
      </c>
      <c r="M51" s="23" t="s">
        <v>540</v>
      </c>
      <c r="N51" s="23" t="s">
        <v>851</v>
      </c>
      <c r="O51" s="23" t="s">
        <v>854</v>
      </c>
      <c r="R51" s="8"/>
      <c r="S51" s="8"/>
      <c r="T51" s="8"/>
      <c r="U51" s="8"/>
    </row>
    <row r="52" ht="12.75">
      <c r="N52" s="27"/>
    </row>
    <row r="53" spans="11:16" ht="12.75">
      <c r="K53" s="69"/>
      <c r="L53" s="69" t="s">
        <v>557</v>
      </c>
      <c r="M53" s="69" t="s">
        <v>557</v>
      </c>
      <c r="N53" s="69" t="s">
        <v>1011</v>
      </c>
      <c r="O53" s="69" t="s">
        <v>557</v>
      </c>
      <c r="P53" t="s">
        <v>1</v>
      </c>
    </row>
    <row r="54" spans="12:16" ht="12.75">
      <c r="L54" s="27" t="s">
        <v>1012</v>
      </c>
      <c r="M54" s="27" t="s">
        <v>1012</v>
      </c>
      <c r="N54" s="27" t="s">
        <v>1010</v>
      </c>
      <c r="O54" s="27" t="s">
        <v>1012</v>
      </c>
      <c r="P54" t="s">
        <v>556</v>
      </c>
    </row>
    <row r="55" spans="11:15" ht="12.75">
      <c r="K55" s="23"/>
      <c r="L55" s="23" t="s">
        <v>854</v>
      </c>
      <c r="M55" s="23" t="s">
        <v>540</v>
      </c>
      <c r="N55" s="23" t="s">
        <v>851</v>
      </c>
      <c r="O55" s="23" t="s">
        <v>854</v>
      </c>
    </row>
    <row r="56" spans="11:15" ht="12.75">
      <c r="K56" s="40"/>
      <c r="L56" s="40"/>
      <c r="M56" s="40"/>
      <c r="N56" s="27"/>
      <c r="O56" s="40"/>
    </row>
    <row r="57" ht="12.75">
      <c r="N57" s="27"/>
    </row>
    <row r="58" spans="11:16" ht="12.75">
      <c r="K58" s="39" t="s">
        <v>506</v>
      </c>
      <c r="L58" s="39" t="s">
        <v>559</v>
      </c>
      <c r="M58" s="39" t="s">
        <v>559</v>
      </c>
      <c r="N58" s="39" t="s">
        <v>559</v>
      </c>
      <c r="O58" s="39" t="s">
        <v>559</v>
      </c>
      <c r="P58" t="s">
        <v>2</v>
      </c>
    </row>
    <row r="59" spans="11:16" ht="12.75">
      <c r="K59" s="23" t="s">
        <v>809</v>
      </c>
      <c r="L59" s="23" t="s">
        <v>643</v>
      </c>
      <c r="M59" s="23" t="s">
        <v>809</v>
      </c>
      <c r="N59" s="23" t="s">
        <v>643</v>
      </c>
      <c r="O59" s="23" t="s">
        <v>643</v>
      </c>
      <c r="P59" t="s">
        <v>3</v>
      </c>
    </row>
    <row r="60" spans="12:15" ht="12.75">
      <c r="L60" s="27"/>
      <c r="M60" s="27"/>
      <c r="N60" s="27"/>
      <c r="O60" s="27"/>
    </row>
    <row r="61" spans="11:16" ht="12.75">
      <c r="K61" s="27" t="s">
        <v>1023</v>
      </c>
      <c r="L61" s="27" t="s">
        <v>392</v>
      </c>
      <c r="M61" s="27" t="s">
        <v>392</v>
      </c>
      <c r="N61" s="27" t="s">
        <v>392</v>
      </c>
      <c r="O61" s="27" t="s">
        <v>392</v>
      </c>
      <c r="P61" t="s">
        <v>562</v>
      </c>
    </row>
    <row r="62" spans="11:15" ht="12.75">
      <c r="K62" s="23" t="s">
        <v>504</v>
      </c>
      <c r="L62" s="23" t="s">
        <v>643</v>
      </c>
      <c r="M62" s="23" t="s">
        <v>809</v>
      </c>
      <c r="N62" s="23" t="s">
        <v>643</v>
      </c>
      <c r="O62" s="23" t="s">
        <v>643</v>
      </c>
    </row>
    <row r="63" spans="12:15" ht="12.75">
      <c r="L63" s="27"/>
      <c r="M63" s="27"/>
      <c r="N63" s="27"/>
      <c r="O63" s="27"/>
    </row>
    <row r="64" spans="11:16" ht="12.75">
      <c r="K64" s="27"/>
      <c r="L64" s="75" t="s">
        <v>855</v>
      </c>
      <c r="M64" s="75" t="s">
        <v>590</v>
      </c>
      <c r="N64" s="75" t="s">
        <v>1013</v>
      </c>
      <c r="O64" s="75" t="s">
        <v>589</v>
      </c>
      <c r="P64" s="55" t="s">
        <v>852</v>
      </c>
    </row>
    <row r="65" spans="11:15" ht="12.75">
      <c r="K65" s="23"/>
      <c r="L65" s="23" t="s">
        <v>856</v>
      </c>
      <c r="M65" s="23" t="s">
        <v>538</v>
      </c>
      <c r="N65" s="23" t="s">
        <v>67</v>
      </c>
      <c r="O65" s="23" t="s">
        <v>145</v>
      </c>
    </row>
    <row r="66" ht="12.75">
      <c r="N66" s="27"/>
    </row>
    <row r="67" spans="11:16" ht="12.75">
      <c r="K67" s="27" t="s">
        <v>1025</v>
      </c>
      <c r="N67" s="27" t="s">
        <v>1018</v>
      </c>
      <c r="P67" t="s">
        <v>584</v>
      </c>
    </row>
    <row r="68" spans="11:14" ht="12.75">
      <c r="K68" s="23" t="s">
        <v>1024</v>
      </c>
      <c r="N68" s="23" t="s">
        <v>585</v>
      </c>
    </row>
    <row r="69" ht="12.75">
      <c r="P69" s="14" t="s">
        <v>996</v>
      </c>
    </row>
    <row r="70" spans="11:16" ht="12.75">
      <c r="K70" s="39" t="s">
        <v>1028</v>
      </c>
      <c r="M70" s="39" t="s">
        <v>1027</v>
      </c>
      <c r="P70" t="s">
        <v>997</v>
      </c>
    </row>
    <row r="71" spans="9:13" ht="12.75">
      <c r="I71" s="1" t="s">
        <v>701</v>
      </c>
      <c r="M71" s="39" t="s">
        <v>1026</v>
      </c>
    </row>
    <row r="72" spans="11:13" ht="12.75">
      <c r="K72" s="39" t="s">
        <v>1029</v>
      </c>
      <c r="M72" s="23" t="s">
        <v>529</v>
      </c>
    </row>
    <row r="74" spans="11:13" ht="12.75">
      <c r="K74" s="23" t="s">
        <v>1030</v>
      </c>
      <c r="M74" s="27"/>
    </row>
    <row r="75" ht="12.75">
      <c r="K75" s="23"/>
    </row>
    <row r="76" spans="11:16" ht="12.75">
      <c r="K76" s="79"/>
      <c r="L76" s="40" t="s">
        <v>500</v>
      </c>
      <c r="M76" s="40" t="s">
        <v>425</v>
      </c>
      <c r="P76" t="s">
        <v>998</v>
      </c>
    </row>
    <row r="77" spans="11:12" ht="12.75">
      <c r="K77" s="39"/>
      <c r="L77" s="94" t="s">
        <v>501</v>
      </c>
    </row>
    <row r="78" spans="11:15" ht="12.75">
      <c r="K78" s="81"/>
      <c r="L78" s="23" t="s">
        <v>502</v>
      </c>
      <c r="M78" s="23" t="s">
        <v>528</v>
      </c>
      <c r="N78" s="40"/>
      <c r="O78" s="40"/>
    </row>
    <row r="79" ht="12.75">
      <c r="K79" s="40"/>
    </row>
    <row r="80" ht="12.75">
      <c r="K80" s="79"/>
    </row>
    <row r="81" spans="11:17" ht="12.75">
      <c r="K81" s="32" t="s">
        <v>527</v>
      </c>
      <c r="L81" s="32" t="s">
        <v>571</v>
      </c>
      <c r="M81" s="32" t="s">
        <v>567</v>
      </c>
      <c r="N81" s="32" t="s">
        <v>396</v>
      </c>
      <c r="O81" s="32" t="s">
        <v>569</v>
      </c>
      <c r="P81" s="11" t="s">
        <v>786</v>
      </c>
      <c r="Q81" t="s">
        <v>866</v>
      </c>
    </row>
    <row r="82" spans="11:15" ht="12.75">
      <c r="K82" s="81"/>
      <c r="L82" s="23"/>
      <c r="M82" s="23"/>
      <c r="N82" s="27"/>
      <c r="O82" s="23"/>
    </row>
    <row r="83" spans="11:17" ht="12.75">
      <c r="K83" s="79">
        <v>21500</v>
      </c>
      <c r="L83" s="79">
        <v>24400</v>
      </c>
      <c r="M83" s="79">
        <v>30600</v>
      </c>
      <c r="N83" s="79">
        <v>24700</v>
      </c>
      <c r="O83" s="79">
        <v>21500</v>
      </c>
      <c r="P83" s="34" t="s">
        <v>867</v>
      </c>
      <c r="Q83" s="34" t="s">
        <v>395</v>
      </c>
    </row>
    <row r="84" spans="11:16" ht="12.75">
      <c r="K84" s="39">
        <v>0.8</v>
      </c>
      <c r="L84" s="39">
        <v>0.63</v>
      </c>
      <c r="M84" s="39">
        <v>0.667</v>
      </c>
      <c r="N84" s="39">
        <v>0.63</v>
      </c>
      <c r="O84" s="39">
        <v>0.8</v>
      </c>
      <c r="P84" s="27" t="s">
        <v>784</v>
      </c>
    </row>
    <row r="85" spans="11:17" ht="12.75">
      <c r="K85" s="31">
        <f>(K83*K84)/3600</f>
        <v>4.777777777777778</v>
      </c>
      <c r="L85" s="31">
        <f>(L83*L84)/3600</f>
        <v>4.27</v>
      </c>
      <c r="M85" s="31">
        <f>(M83*M84)/3600</f>
        <v>5.6695</v>
      </c>
      <c r="N85" s="31">
        <f>(N83*N84)/3600</f>
        <v>4.3225</v>
      </c>
      <c r="O85" s="31">
        <f>(O83*O84)/3600</f>
        <v>4.777777777777778</v>
      </c>
      <c r="P85" s="34" t="s">
        <v>868</v>
      </c>
      <c r="Q85" s="34" t="s">
        <v>876</v>
      </c>
    </row>
    <row r="86" spans="11:16" ht="12.75">
      <c r="K86" s="40"/>
      <c r="L86" s="40"/>
      <c r="M86" s="40"/>
      <c r="N86" s="27"/>
      <c r="O86" s="40"/>
      <c r="P86" s="27"/>
    </row>
    <row r="87" spans="11:17" ht="12.75">
      <c r="K87" s="79">
        <v>37000</v>
      </c>
      <c r="L87" s="79">
        <v>39200</v>
      </c>
      <c r="M87" s="79">
        <v>50200</v>
      </c>
      <c r="N87" s="79">
        <v>40700</v>
      </c>
      <c r="O87" s="79">
        <v>37000</v>
      </c>
      <c r="P87" s="34" t="s">
        <v>144</v>
      </c>
      <c r="Q87" s="34" t="s">
        <v>395</v>
      </c>
    </row>
    <row r="88" spans="11:16" ht="12.75">
      <c r="K88" s="39">
        <v>1.8</v>
      </c>
      <c r="L88" s="39">
        <v>1.8</v>
      </c>
      <c r="M88" s="39">
        <v>2.5</v>
      </c>
      <c r="N88" s="39">
        <v>1.8</v>
      </c>
      <c r="O88" s="39">
        <v>1.8</v>
      </c>
      <c r="P88" s="27" t="s">
        <v>784</v>
      </c>
    </row>
    <row r="89" spans="11:17" ht="12.75">
      <c r="K89" s="31">
        <f>(K87*K88)/3600</f>
        <v>18.5</v>
      </c>
      <c r="L89" s="31">
        <f>(L87*L88)/3600</f>
        <v>19.6</v>
      </c>
      <c r="M89" s="31">
        <f>(M87*M88)/3600</f>
        <v>34.861111111111114</v>
      </c>
      <c r="N89" s="31">
        <f>(N87*N88)/3600</f>
        <v>20.35</v>
      </c>
      <c r="O89" s="31">
        <f>(O87*O88)/3600</f>
        <v>18.5</v>
      </c>
      <c r="P89" s="34" t="s">
        <v>868</v>
      </c>
      <c r="Q89" s="34" t="s">
        <v>876</v>
      </c>
    </row>
    <row r="90" ht="12.75">
      <c r="N90" s="27"/>
    </row>
    <row r="91" spans="12:15" ht="12.75">
      <c r="L91" s="32"/>
      <c r="M91" s="32"/>
      <c r="N91" s="32"/>
      <c r="O91" s="32"/>
    </row>
    <row r="92" spans="9:16" ht="12.75">
      <c r="I92" s="1"/>
      <c r="K92" s="27"/>
      <c r="L92" s="64"/>
      <c r="M92" s="64"/>
      <c r="N92" s="64"/>
      <c r="P92" s="11" t="s">
        <v>799</v>
      </c>
    </row>
    <row r="93" ht="12.75">
      <c r="I93" s="1" t="s">
        <v>702</v>
      </c>
    </row>
    <row r="94" spans="14:15" ht="12.75">
      <c r="N94" s="11" t="s">
        <v>503</v>
      </c>
      <c r="O94" s="24" t="s">
        <v>803</v>
      </c>
    </row>
    <row r="95" ht="12.75">
      <c r="N95" s="23"/>
    </row>
    <row r="97" spans="11:15" ht="12.75">
      <c r="K97" s="27" t="s">
        <v>417</v>
      </c>
      <c r="L97" s="27" t="s">
        <v>417</v>
      </c>
      <c r="M97" s="27" t="s">
        <v>697</v>
      </c>
      <c r="N97" s="27" t="s">
        <v>800</v>
      </c>
      <c r="O97" s="27" t="s">
        <v>800</v>
      </c>
    </row>
    <row r="98" spans="11:20" ht="12.75">
      <c r="K98" s="32" t="s">
        <v>427</v>
      </c>
      <c r="L98" s="32" t="s">
        <v>796</v>
      </c>
      <c r="M98" s="32" t="s">
        <v>796</v>
      </c>
      <c r="N98" s="32" t="s">
        <v>397</v>
      </c>
      <c r="O98" s="32" t="s">
        <v>398</v>
      </c>
      <c r="P98" s="32" t="s">
        <v>70</v>
      </c>
      <c r="Q98" s="58" t="s">
        <v>79</v>
      </c>
      <c r="R98" s="32" t="s">
        <v>400</v>
      </c>
      <c r="S98" s="32" t="s">
        <v>399</v>
      </c>
      <c r="T98" s="32" t="s">
        <v>596</v>
      </c>
    </row>
    <row r="99" spans="11:13" ht="12.75">
      <c r="K99" s="23" t="s">
        <v>428</v>
      </c>
      <c r="L99" s="23" t="s">
        <v>421</v>
      </c>
      <c r="M99" s="23" t="s">
        <v>422</v>
      </c>
    </row>
    <row r="102" spans="16:18" ht="12.75">
      <c r="P102" s="27"/>
      <c r="R102" s="57"/>
    </row>
    <row r="104" spans="12:20" ht="12.75">
      <c r="L104" s="27"/>
      <c r="M104" s="27"/>
      <c r="N104" s="27"/>
      <c r="O104" s="64"/>
      <c r="P104" s="27"/>
      <c r="Q104" s="93"/>
      <c r="R104" s="16"/>
      <c r="S104" s="96"/>
      <c r="T104" s="97"/>
    </row>
    <row r="112" ht="12.75">
      <c r="K112" s="14"/>
    </row>
    <row r="114" ht="12.75">
      <c r="I114" s="1" t="s">
        <v>706</v>
      </c>
    </row>
    <row r="131" spans="14:15" ht="12.75">
      <c r="N131" s="11" t="s">
        <v>570</v>
      </c>
      <c r="O131" s="24" t="s">
        <v>803</v>
      </c>
    </row>
    <row r="132" ht="12.75">
      <c r="N132" s="23" t="s">
        <v>426</v>
      </c>
    </row>
    <row r="134" spans="11:15" ht="12.75">
      <c r="K134" s="27" t="s">
        <v>417</v>
      </c>
      <c r="L134" s="27" t="s">
        <v>417</v>
      </c>
      <c r="M134" s="27" t="s">
        <v>697</v>
      </c>
      <c r="N134" s="27" t="s">
        <v>800</v>
      </c>
      <c r="O134" s="27" t="s">
        <v>800</v>
      </c>
    </row>
    <row r="135" spans="9:20" ht="12.75">
      <c r="I135" s="1" t="s">
        <v>707</v>
      </c>
      <c r="K135" s="32" t="s">
        <v>427</v>
      </c>
      <c r="L135" s="32" t="s">
        <v>796</v>
      </c>
      <c r="M135" s="32" t="s">
        <v>796</v>
      </c>
      <c r="N135" s="32" t="s">
        <v>397</v>
      </c>
      <c r="O135" s="32" t="s">
        <v>398</v>
      </c>
      <c r="P135" s="32" t="s">
        <v>70</v>
      </c>
      <c r="Q135" s="58" t="s">
        <v>79</v>
      </c>
      <c r="R135" s="32" t="s">
        <v>400</v>
      </c>
      <c r="S135" s="32" t="s">
        <v>399</v>
      </c>
      <c r="T135" s="32" t="s">
        <v>596</v>
      </c>
    </row>
    <row r="136" spans="11:13" ht="12.75">
      <c r="K136" s="23" t="s">
        <v>428</v>
      </c>
      <c r="L136" s="23" t="s">
        <v>421</v>
      </c>
      <c r="M136" s="23" t="s">
        <v>422</v>
      </c>
    </row>
    <row r="139" spans="15:18" ht="12.75">
      <c r="O139" s="27" t="s">
        <v>496</v>
      </c>
      <c r="Q139" s="57" t="s">
        <v>531</v>
      </c>
      <c r="R139" t="s">
        <v>532</v>
      </c>
    </row>
    <row r="141" spans="11:19" ht="12.75">
      <c r="K141" s="27">
        <v>1</v>
      </c>
      <c r="L141" s="27"/>
      <c r="M141" s="27"/>
      <c r="N141" s="64"/>
      <c r="O141" s="27"/>
      <c r="P141" s="93" t="s">
        <v>401</v>
      </c>
      <c r="Q141" s="16" t="s">
        <v>63</v>
      </c>
      <c r="R141" s="96" t="s">
        <v>429</v>
      </c>
      <c r="S141" s="97" t="s">
        <v>65</v>
      </c>
    </row>
    <row r="142" spans="11:17" ht="12.75">
      <c r="K142" s="27"/>
      <c r="L142" s="27"/>
      <c r="M142" s="27"/>
      <c r="N142" s="64"/>
      <c r="O142" s="27"/>
      <c r="P142" s="93"/>
      <c r="Q142" s="16"/>
    </row>
    <row r="143" spans="11:19" ht="12.75">
      <c r="K143" s="27"/>
      <c r="L143" s="27">
        <v>6</v>
      </c>
      <c r="M143" s="27">
        <v>4</v>
      </c>
      <c r="N143" s="27"/>
      <c r="O143" s="27"/>
      <c r="P143" s="93" t="s">
        <v>402</v>
      </c>
      <c r="Q143" s="16" t="s">
        <v>765</v>
      </c>
      <c r="R143" s="57" t="s">
        <v>403</v>
      </c>
      <c r="S143" t="s">
        <v>404</v>
      </c>
    </row>
    <row r="144" spans="11:19" ht="12.75">
      <c r="K144" s="27"/>
      <c r="L144" s="27">
        <v>6</v>
      </c>
      <c r="M144" s="27">
        <v>4</v>
      </c>
      <c r="N144" s="27"/>
      <c r="O144" s="27"/>
      <c r="P144" s="93" t="s">
        <v>405</v>
      </c>
      <c r="Q144" s="16" t="s">
        <v>698</v>
      </c>
      <c r="R144" s="57" t="s">
        <v>403</v>
      </c>
      <c r="S144" t="s">
        <v>404</v>
      </c>
    </row>
    <row r="145" spans="11:17" ht="12.75">
      <c r="K145" s="27"/>
      <c r="Q145" s="8"/>
    </row>
    <row r="146" spans="11:19" ht="12.75">
      <c r="K146" s="27"/>
      <c r="L146" s="27">
        <v>1</v>
      </c>
      <c r="M146" s="27">
        <v>1</v>
      </c>
      <c r="Q146" s="8" t="s">
        <v>610</v>
      </c>
      <c r="R146" s="96" t="s">
        <v>411</v>
      </c>
      <c r="S146" t="s">
        <v>442</v>
      </c>
    </row>
    <row r="147" spans="11:17" ht="12.75">
      <c r="K147" s="27"/>
      <c r="Q147" s="8"/>
    </row>
    <row r="148" spans="11:20" ht="12.75">
      <c r="K148" s="27"/>
      <c r="L148" s="27">
        <v>6</v>
      </c>
      <c r="M148" s="27">
        <v>6</v>
      </c>
      <c r="N148" s="27"/>
      <c r="O148" s="27"/>
      <c r="P148" s="93" t="s">
        <v>406</v>
      </c>
      <c r="Q148" s="16" t="s">
        <v>735</v>
      </c>
      <c r="R148" s="96" t="s">
        <v>407</v>
      </c>
      <c r="S148" s="34" t="s">
        <v>611</v>
      </c>
      <c r="T148" s="39"/>
    </row>
    <row r="149" spans="11:19" ht="12.75">
      <c r="K149" s="27"/>
      <c r="L149" s="27">
        <v>1</v>
      </c>
      <c r="M149" s="27">
        <v>1</v>
      </c>
      <c r="N149" s="27"/>
      <c r="O149" s="27"/>
      <c r="P149" s="93" t="s">
        <v>410</v>
      </c>
      <c r="Q149" s="16" t="s">
        <v>64</v>
      </c>
      <c r="R149" s="96" t="s">
        <v>411</v>
      </c>
      <c r="S149" s="34" t="s">
        <v>611</v>
      </c>
    </row>
    <row r="150" spans="11:19" ht="12.75">
      <c r="K150" s="27"/>
      <c r="L150" s="27">
        <v>6</v>
      </c>
      <c r="M150" s="27">
        <v>4</v>
      </c>
      <c r="N150" s="27"/>
      <c r="O150" s="27"/>
      <c r="P150" s="93" t="s">
        <v>408</v>
      </c>
      <c r="Q150" s="16" t="s">
        <v>66</v>
      </c>
      <c r="R150" s="96" t="s">
        <v>409</v>
      </c>
      <c r="S150" s="34" t="s">
        <v>611</v>
      </c>
    </row>
    <row r="151" spans="11:19" ht="12.75">
      <c r="K151" s="27"/>
      <c r="L151" s="27">
        <v>1</v>
      </c>
      <c r="M151" s="27">
        <v>1</v>
      </c>
      <c r="P151" s="93" t="s">
        <v>499</v>
      </c>
      <c r="Q151" s="16" t="s">
        <v>497</v>
      </c>
      <c r="R151" s="96" t="s">
        <v>498</v>
      </c>
      <c r="S151" s="34" t="s">
        <v>611</v>
      </c>
    </row>
    <row r="152" spans="11:17" ht="12.75">
      <c r="K152" s="27"/>
      <c r="Q152" s="8"/>
    </row>
    <row r="153" spans="11:19" ht="12.75">
      <c r="K153" s="27"/>
      <c r="L153" s="27">
        <v>1</v>
      </c>
      <c r="M153" s="27">
        <v>1</v>
      </c>
      <c r="N153" s="27">
        <v>1</v>
      </c>
      <c r="O153" s="27">
        <v>1</v>
      </c>
      <c r="Q153" s="16" t="s">
        <v>368</v>
      </c>
      <c r="R153" s="96" t="s">
        <v>412</v>
      </c>
      <c r="S153" t="s">
        <v>801</v>
      </c>
    </row>
    <row r="154" spans="11:19" ht="12.75">
      <c r="K154" s="27"/>
      <c r="L154" s="27">
        <v>1</v>
      </c>
      <c r="M154" s="27">
        <v>1</v>
      </c>
      <c r="N154" s="27">
        <v>1</v>
      </c>
      <c r="O154" s="27">
        <v>1</v>
      </c>
      <c r="P154" s="93" t="s">
        <v>71</v>
      </c>
      <c r="Q154" s="16" t="s">
        <v>369</v>
      </c>
      <c r="R154" s="96" t="s">
        <v>412</v>
      </c>
      <c r="S154" t="s">
        <v>801</v>
      </c>
    </row>
    <row r="155" spans="11:19" ht="12.75">
      <c r="K155" s="27"/>
      <c r="L155" s="27">
        <v>1</v>
      </c>
      <c r="M155" s="27">
        <v>1</v>
      </c>
      <c r="N155" s="27">
        <v>1</v>
      </c>
      <c r="O155" s="27">
        <v>1</v>
      </c>
      <c r="P155" s="93" t="s">
        <v>414</v>
      </c>
      <c r="Q155" s="16" t="s">
        <v>415</v>
      </c>
      <c r="R155" s="96" t="s">
        <v>412</v>
      </c>
      <c r="S155" t="s">
        <v>801</v>
      </c>
    </row>
    <row r="156" spans="9:17" ht="12.75">
      <c r="I156" s="1" t="s">
        <v>710</v>
      </c>
      <c r="K156" s="27"/>
      <c r="Q156" s="8"/>
    </row>
    <row r="157" spans="11:20" ht="12.75">
      <c r="K157" s="23"/>
      <c r="L157" s="27">
        <v>1</v>
      </c>
      <c r="M157" s="27">
        <v>1</v>
      </c>
      <c r="N157" s="27"/>
      <c r="O157" s="27"/>
      <c r="Q157" s="8"/>
      <c r="R157" s="96" t="s">
        <v>423</v>
      </c>
      <c r="S157" t="s">
        <v>416</v>
      </c>
      <c r="T157" t="s">
        <v>424</v>
      </c>
    </row>
    <row r="158" spans="11:20" ht="12.75">
      <c r="K158" s="27"/>
      <c r="L158" s="27"/>
      <c r="M158" s="27"/>
      <c r="N158" s="27" t="s">
        <v>1019</v>
      </c>
      <c r="O158" s="27" t="s">
        <v>587</v>
      </c>
      <c r="S158" t="s">
        <v>416</v>
      </c>
      <c r="T158" s="25" t="s">
        <v>1002</v>
      </c>
    </row>
    <row r="159" spans="14:15" ht="12.75">
      <c r="N159" s="27" t="s">
        <v>588</v>
      </c>
      <c r="O159" s="27" t="s">
        <v>588</v>
      </c>
    </row>
    <row r="160" spans="14:15" ht="12.75">
      <c r="N160" s="23" t="s">
        <v>68</v>
      </c>
      <c r="O160" s="23" t="s">
        <v>68</v>
      </c>
    </row>
    <row r="163" spans="14:15" ht="12.75">
      <c r="N163" s="11" t="s">
        <v>554</v>
      </c>
      <c r="O163" s="24" t="s">
        <v>803</v>
      </c>
    </row>
    <row r="164" ht="12.75">
      <c r="N164" s="23" t="s">
        <v>426</v>
      </c>
    </row>
    <row r="166" spans="11:15" ht="12.75">
      <c r="K166" s="27" t="s">
        <v>417</v>
      </c>
      <c r="L166" s="27" t="s">
        <v>417</v>
      </c>
      <c r="M166" s="27" t="s">
        <v>697</v>
      </c>
      <c r="N166" s="27" t="s">
        <v>800</v>
      </c>
      <c r="O166" s="27" t="s">
        <v>800</v>
      </c>
    </row>
    <row r="167" spans="11:20" ht="12.75">
      <c r="K167" s="32" t="s">
        <v>427</v>
      </c>
      <c r="L167" s="32" t="s">
        <v>796</v>
      </c>
      <c r="M167" s="32" t="s">
        <v>796</v>
      </c>
      <c r="N167" s="32" t="s">
        <v>397</v>
      </c>
      <c r="O167" s="32" t="s">
        <v>398</v>
      </c>
      <c r="P167" s="32" t="s">
        <v>70</v>
      </c>
      <c r="Q167" s="58" t="s">
        <v>79</v>
      </c>
      <c r="R167" s="32" t="s">
        <v>400</v>
      </c>
      <c r="S167" s="32" t="s">
        <v>399</v>
      </c>
      <c r="T167" s="32" t="s">
        <v>596</v>
      </c>
    </row>
    <row r="168" spans="11:13" ht="12.75">
      <c r="K168" s="23" t="s">
        <v>428</v>
      </c>
      <c r="L168" s="23" t="s">
        <v>421</v>
      </c>
      <c r="M168" s="23" t="s">
        <v>422</v>
      </c>
    </row>
    <row r="171" spans="11:19" ht="12.75">
      <c r="K171" s="27">
        <v>1</v>
      </c>
      <c r="L171" s="27"/>
      <c r="M171" s="27"/>
      <c r="N171" s="64"/>
      <c r="O171" s="27"/>
      <c r="P171" s="93" t="s">
        <v>401</v>
      </c>
      <c r="Q171" s="34" t="s">
        <v>63</v>
      </c>
      <c r="R171" s="96" t="s">
        <v>429</v>
      </c>
      <c r="S171" s="97" t="s">
        <v>65</v>
      </c>
    </row>
    <row r="172" spans="11:17" ht="12.75">
      <c r="K172" s="27"/>
      <c r="L172" s="27"/>
      <c r="M172" s="27"/>
      <c r="N172" s="64"/>
      <c r="O172" s="27"/>
      <c r="P172" s="93"/>
      <c r="Q172" s="34"/>
    </row>
    <row r="173" spans="11:19" ht="12.75">
      <c r="K173" s="27"/>
      <c r="L173" s="27">
        <v>3</v>
      </c>
      <c r="M173" s="27"/>
      <c r="N173" s="27"/>
      <c r="O173" s="27"/>
      <c r="Q173" s="24" t="s">
        <v>443</v>
      </c>
      <c r="R173" s="57" t="s">
        <v>444</v>
      </c>
      <c r="S173" s="97" t="s">
        <v>65</v>
      </c>
    </row>
    <row r="174" spans="11:19" ht="12.75">
      <c r="K174" s="27"/>
      <c r="L174" s="27">
        <v>1</v>
      </c>
      <c r="M174" s="27"/>
      <c r="N174" s="27"/>
      <c r="O174" s="27"/>
      <c r="Q174" t="s">
        <v>493</v>
      </c>
      <c r="R174" s="57" t="s">
        <v>444</v>
      </c>
      <c r="S174" s="97" t="s">
        <v>65</v>
      </c>
    </row>
    <row r="175" ht="12.75">
      <c r="K175" s="27"/>
    </row>
    <row r="176" spans="9:19" ht="12.75">
      <c r="I176" s="1"/>
      <c r="K176" s="27"/>
      <c r="L176" s="27">
        <v>1</v>
      </c>
      <c r="M176" s="27">
        <v>1</v>
      </c>
      <c r="N176" s="27"/>
      <c r="O176" s="27"/>
      <c r="Q176" t="s">
        <v>494</v>
      </c>
      <c r="R176" s="57" t="s">
        <v>419</v>
      </c>
      <c r="S176" s="97" t="s">
        <v>65</v>
      </c>
    </row>
    <row r="177" ht="12.75">
      <c r="K177" s="27"/>
    </row>
    <row r="178" spans="11:19" ht="12.75">
      <c r="K178" s="27"/>
      <c r="L178" s="27">
        <v>6</v>
      </c>
      <c r="M178" s="27">
        <v>4</v>
      </c>
      <c r="N178" s="27"/>
      <c r="O178" s="27"/>
      <c r="Q178" t="s">
        <v>430</v>
      </c>
      <c r="R178" s="57" t="s">
        <v>598</v>
      </c>
      <c r="S178" t="s">
        <v>432</v>
      </c>
    </row>
    <row r="179" spans="11:20" ht="12.75">
      <c r="K179" s="27"/>
      <c r="L179" s="27">
        <v>1</v>
      </c>
      <c r="M179" s="27">
        <v>1</v>
      </c>
      <c r="N179" s="27"/>
      <c r="O179" s="27"/>
      <c r="P179" s="93" t="s">
        <v>433</v>
      </c>
      <c r="Q179" t="s">
        <v>431</v>
      </c>
      <c r="R179" s="57" t="s">
        <v>434</v>
      </c>
      <c r="S179" t="s">
        <v>435</v>
      </c>
      <c r="T179" t="s">
        <v>404</v>
      </c>
    </row>
    <row r="180" spans="11:15" ht="12.75">
      <c r="K180" s="27"/>
      <c r="L180" s="27"/>
      <c r="M180" s="27"/>
      <c r="N180" s="27"/>
      <c r="O180" s="27"/>
    </row>
    <row r="181" spans="11:19" ht="12.75">
      <c r="K181" s="27"/>
      <c r="L181" s="27">
        <v>6</v>
      </c>
      <c r="M181" s="27">
        <v>4</v>
      </c>
      <c r="N181" s="27"/>
      <c r="O181" s="27"/>
      <c r="P181" s="93" t="s">
        <v>402</v>
      </c>
      <c r="Q181" s="34" t="s">
        <v>765</v>
      </c>
      <c r="R181" s="57" t="s">
        <v>403</v>
      </c>
      <c r="S181" t="s">
        <v>404</v>
      </c>
    </row>
    <row r="182" spans="11:19" ht="12.75">
      <c r="K182" s="27"/>
      <c r="L182" s="27">
        <v>4</v>
      </c>
      <c r="M182" s="27">
        <v>1</v>
      </c>
      <c r="Q182" s="34" t="s">
        <v>436</v>
      </c>
      <c r="R182" s="57" t="s">
        <v>403</v>
      </c>
      <c r="S182" t="s">
        <v>404</v>
      </c>
    </row>
    <row r="183" spans="11:19" ht="12.75">
      <c r="K183" s="27"/>
      <c r="L183" s="27">
        <v>6</v>
      </c>
      <c r="M183" s="27">
        <v>4</v>
      </c>
      <c r="N183" s="27"/>
      <c r="O183" s="27"/>
      <c r="P183" s="93" t="s">
        <v>405</v>
      </c>
      <c r="Q183" s="34" t="s">
        <v>698</v>
      </c>
      <c r="R183" s="57" t="s">
        <v>403</v>
      </c>
      <c r="S183" t="s">
        <v>404</v>
      </c>
    </row>
    <row r="184" ht="12.75">
      <c r="K184" s="27"/>
    </row>
    <row r="185" spans="11:19" ht="12.75">
      <c r="K185" s="27"/>
      <c r="L185" s="27">
        <v>1</v>
      </c>
      <c r="M185" s="27">
        <v>1</v>
      </c>
      <c r="Q185" t="s">
        <v>610</v>
      </c>
      <c r="R185" s="96" t="s">
        <v>411</v>
      </c>
      <c r="S185" t="s">
        <v>442</v>
      </c>
    </row>
    <row r="186" spans="11:19" ht="12.75">
      <c r="K186" s="27"/>
      <c r="L186" s="27">
        <v>1</v>
      </c>
      <c r="M186" s="27">
        <v>1</v>
      </c>
      <c r="Q186" t="s">
        <v>437</v>
      </c>
      <c r="R186" s="96" t="s">
        <v>407</v>
      </c>
      <c r="S186" t="s">
        <v>442</v>
      </c>
    </row>
    <row r="187" spans="11:17" ht="12.75">
      <c r="K187" s="23"/>
      <c r="L187" s="27">
        <v>1</v>
      </c>
      <c r="M187" s="27">
        <v>1</v>
      </c>
      <c r="Q187" t="s">
        <v>438</v>
      </c>
    </row>
    <row r="188" spans="11:17" ht="12.75">
      <c r="K188" s="27"/>
      <c r="L188" s="27">
        <v>1</v>
      </c>
      <c r="M188" s="27">
        <v>1</v>
      </c>
      <c r="Q188" t="s">
        <v>439</v>
      </c>
    </row>
    <row r="189" ht="12.75">
      <c r="K189" s="27"/>
    </row>
    <row r="190" spans="11:19" ht="12.75">
      <c r="K190" s="27"/>
      <c r="L190" s="27">
        <v>1</v>
      </c>
      <c r="M190" s="27">
        <v>1</v>
      </c>
      <c r="Q190" t="s">
        <v>440</v>
      </c>
      <c r="R190" s="96" t="s">
        <v>411</v>
      </c>
      <c r="S190" t="s">
        <v>441</v>
      </c>
    </row>
    <row r="191" ht="12.75">
      <c r="K191" s="27"/>
    </row>
    <row r="192" spans="11:20" ht="12.75">
      <c r="K192" s="27"/>
      <c r="L192" s="27">
        <v>6</v>
      </c>
      <c r="M192" s="27">
        <v>6</v>
      </c>
      <c r="N192" s="27"/>
      <c r="O192" s="27"/>
      <c r="P192" s="93" t="s">
        <v>406</v>
      </c>
      <c r="Q192" s="34" t="s">
        <v>735</v>
      </c>
      <c r="R192" s="96" t="s">
        <v>407</v>
      </c>
      <c r="S192" s="34" t="s">
        <v>611</v>
      </c>
      <c r="T192" s="39"/>
    </row>
    <row r="193" spans="11:19" ht="12.75">
      <c r="K193" s="27"/>
      <c r="L193" s="27">
        <v>4</v>
      </c>
      <c r="M193" s="27">
        <v>4</v>
      </c>
      <c r="N193" s="27"/>
      <c r="O193" s="27"/>
      <c r="P193" s="93" t="s">
        <v>408</v>
      </c>
      <c r="Q193" s="34" t="s">
        <v>66</v>
      </c>
      <c r="R193" s="96" t="s">
        <v>409</v>
      </c>
      <c r="S193" s="34" t="s">
        <v>611</v>
      </c>
    </row>
    <row r="194" spans="11:19" ht="12.75">
      <c r="K194" s="27"/>
      <c r="L194" s="27">
        <v>1</v>
      </c>
      <c r="M194" s="27">
        <v>1</v>
      </c>
      <c r="N194" s="27"/>
      <c r="O194" s="27"/>
      <c r="P194" s="93" t="s">
        <v>410</v>
      </c>
      <c r="Q194" s="34" t="s">
        <v>64</v>
      </c>
      <c r="R194" s="96" t="s">
        <v>411</v>
      </c>
      <c r="S194" s="34" t="s">
        <v>611</v>
      </c>
    </row>
    <row r="195" spans="11:15" ht="12.75">
      <c r="K195" s="27"/>
      <c r="L195" s="27"/>
      <c r="M195" s="27"/>
      <c r="N195" s="27"/>
      <c r="O195" s="27"/>
    </row>
    <row r="196" spans="11:19" ht="12.75">
      <c r="K196" s="27"/>
      <c r="L196" s="27">
        <v>1</v>
      </c>
      <c r="M196" s="27">
        <v>1</v>
      </c>
      <c r="N196" s="27">
        <v>1</v>
      </c>
      <c r="O196" s="27">
        <v>1</v>
      </c>
      <c r="P196" s="93" t="s">
        <v>71</v>
      </c>
      <c r="Q196" s="34" t="s">
        <v>369</v>
      </c>
      <c r="R196" s="96" t="s">
        <v>412</v>
      </c>
      <c r="S196" t="s">
        <v>801</v>
      </c>
    </row>
    <row r="197" spans="11:19" ht="12.75">
      <c r="K197" s="27"/>
      <c r="L197" s="27">
        <v>1</v>
      </c>
      <c r="M197" s="27">
        <v>1</v>
      </c>
      <c r="N197" s="27">
        <v>1</v>
      </c>
      <c r="O197" s="27">
        <v>1</v>
      </c>
      <c r="P197" s="93" t="s">
        <v>414</v>
      </c>
      <c r="Q197" s="34" t="s">
        <v>415</v>
      </c>
      <c r="R197" s="96" t="s">
        <v>412</v>
      </c>
      <c r="S197" t="s">
        <v>801</v>
      </c>
    </row>
    <row r="199" spans="12:20" ht="12.75">
      <c r="L199" s="27">
        <v>1</v>
      </c>
      <c r="M199" s="27">
        <v>1</v>
      </c>
      <c r="N199" s="27"/>
      <c r="O199" s="27"/>
      <c r="Q199" t="s">
        <v>416</v>
      </c>
      <c r="R199" s="96" t="s">
        <v>423</v>
      </c>
      <c r="T199" t="s">
        <v>424</v>
      </c>
    </row>
    <row r="200" spans="12:15" ht="12.75">
      <c r="L200" s="27"/>
      <c r="M200" s="27"/>
      <c r="N200" s="27"/>
      <c r="O200" s="27"/>
    </row>
    <row r="201" spans="12:17" ht="12.75">
      <c r="L201" s="27"/>
      <c r="M201" s="27"/>
      <c r="N201" s="27" t="s">
        <v>496</v>
      </c>
      <c r="O201" s="27" t="s">
        <v>496</v>
      </c>
      <c r="Q201" t="s">
        <v>495</v>
      </c>
    </row>
    <row r="203" spans="14:15" ht="12.75">
      <c r="N203" s="11" t="s">
        <v>391</v>
      </c>
      <c r="O203" s="24" t="s">
        <v>803</v>
      </c>
    </row>
    <row r="204" ht="12.75">
      <c r="N204" s="23" t="s">
        <v>1015</v>
      </c>
    </row>
    <row r="206" spans="11:15" ht="12.75">
      <c r="K206" s="27" t="s">
        <v>696</v>
      </c>
      <c r="L206" s="27" t="s">
        <v>417</v>
      </c>
      <c r="M206" s="27" t="s">
        <v>697</v>
      </c>
      <c r="N206" s="27" t="s">
        <v>800</v>
      </c>
      <c r="O206" s="27" t="s">
        <v>800</v>
      </c>
    </row>
    <row r="207" spans="11:20" ht="12.75">
      <c r="K207" s="32" t="s">
        <v>796</v>
      </c>
      <c r="L207" s="32" t="s">
        <v>796</v>
      </c>
      <c r="M207" s="32" t="s">
        <v>796</v>
      </c>
      <c r="N207" s="32" t="s">
        <v>397</v>
      </c>
      <c r="O207" s="32" t="s">
        <v>398</v>
      </c>
      <c r="P207" s="32" t="s">
        <v>70</v>
      </c>
      <c r="Q207" s="58" t="s">
        <v>79</v>
      </c>
      <c r="R207" s="32" t="s">
        <v>400</v>
      </c>
      <c r="S207" s="32" t="s">
        <v>399</v>
      </c>
      <c r="T207" s="32" t="s">
        <v>596</v>
      </c>
    </row>
    <row r="208" spans="11:13" ht="12.75">
      <c r="K208" s="23" t="s">
        <v>420</v>
      </c>
      <c r="L208" s="23" t="s">
        <v>421</v>
      </c>
      <c r="M208" s="23" t="s">
        <v>422</v>
      </c>
    </row>
    <row r="209" ht="12.75">
      <c r="T209" s="24"/>
    </row>
    <row r="210" spans="16:20" ht="12.75">
      <c r="P210" s="93"/>
      <c r="T210" s="24"/>
    </row>
    <row r="211" spans="11:19" ht="12.75">
      <c r="K211" s="27"/>
      <c r="L211" s="27">
        <v>1</v>
      </c>
      <c r="M211" s="27">
        <v>1</v>
      </c>
      <c r="N211" s="27">
        <v>1</v>
      </c>
      <c r="O211" s="27">
        <v>1</v>
      </c>
      <c r="P211" s="93"/>
      <c r="Q211" s="34" t="s">
        <v>418</v>
      </c>
      <c r="R211" s="96" t="s">
        <v>1003</v>
      </c>
      <c r="S211" s="97" t="s">
        <v>65</v>
      </c>
    </row>
    <row r="212" spans="11:17" ht="12.75">
      <c r="K212" s="27"/>
      <c r="L212" s="27"/>
      <c r="M212" s="27"/>
      <c r="N212" s="27"/>
      <c r="O212" s="27"/>
      <c r="P212" s="93"/>
      <c r="Q212" s="34"/>
    </row>
    <row r="213" spans="11:19" ht="12.75">
      <c r="K213" s="27"/>
      <c r="L213" s="27">
        <v>1</v>
      </c>
      <c r="M213" s="27">
        <v>1</v>
      </c>
      <c r="N213" s="27">
        <v>1</v>
      </c>
      <c r="O213" s="27">
        <v>1</v>
      </c>
      <c r="P213" s="93" t="s">
        <v>413</v>
      </c>
      <c r="Q213" s="34" t="s">
        <v>368</v>
      </c>
      <c r="R213" s="96" t="s">
        <v>412</v>
      </c>
      <c r="S213" t="s">
        <v>801</v>
      </c>
    </row>
    <row r="214" spans="11:19" ht="12.75">
      <c r="K214" s="27"/>
      <c r="L214" s="27">
        <v>1</v>
      </c>
      <c r="M214" s="27">
        <v>1</v>
      </c>
      <c r="N214" s="27">
        <v>1</v>
      </c>
      <c r="O214" s="27">
        <v>1</v>
      </c>
      <c r="P214" s="93" t="s">
        <v>71</v>
      </c>
      <c r="Q214" s="34" t="s">
        <v>369</v>
      </c>
      <c r="R214" s="96" t="s">
        <v>412</v>
      </c>
      <c r="S214" t="s">
        <v>801</v>
      </c>
    </row>
    <row r="215" spans="11:19" ht="12.75">
      <c r="K215" s="27"/>
      <c r="L215" s="27">
        <v>1</v>
      </c>
      <c r="M215" s="27">
        <v>1</v>
      </c>
      <c r="N215" s="27">
        <v>1</v>
      </c>
      <c r="O215" s="27">
        <v>1</v>
      </c>
      <c r="P215" s="93" t="s">
        <v>414</v>
      </c>
      <c r="Q215" s="34" t="s">
        <v>415</v>
      </c>
      <c r="R215" s="96" t="s">
        <v>412</v>
      </c>
      <c r="S215" t="s">
        <v>801</v>
      </c>
    </row>
    <row r="216" ht="12.75">
      <c r="K216" s="27"/>
    </row>
    <row r="217" spans="11:19" ht="12.75">
      <c r="K217" s="27"/>
      <c r="L217" s="27">
        <v>6</v>
      </c>
      <c r="M217" s="27">
        <v>4</v>
      </c>
      <c r="N217" s="27"/>
      <c r="O217" s="27"/>
      <c r="P217" s="93" t="s">
        <v>402</v>
      </c>
      <c r="Q217" s="34" t="s">
        <v>765</v>
      </c>
      <c r="R217" s="57" t="s">
        <v>403</v>
      </c>
      <c r="S217" t="s">
        <v>404</v>
      </c>
    </row>
    <row r="218" spans="12:19" ht="12.75">
      <c r="L218" s="27">
        <v>6</v>
      </c>
      <c r="M218" s="27">
        <v>4</v>
      </c>
      <c r="P218" s="93" t="s">
        <v>1014</v>
      </c>
      <c r="Q218" s="34" t="s">
        <v>89</v>
      </c>
      <c r="R218" s="57" t="s">
        <v>403</v>
      </c>
      <c r="S218" t="s">
        <v>404</v>
      </c>
    </row>
    <row r="219" spans="12:19" ht="12.75">
      <c r="L219" s="27">
        <v>6</v>
      </c>
      <c r="M219" s="27">
        <v>4</v>
      </c>
      <c r="P219" s="93" t="s">
        <v>1014</v>
      </c>
      <c r="Q219" s="34" t="s">
        <v>90</v>
      </c>
      <c r="R219" s="57" t="s">
        <v>403</v>
      </c>
      <c r="S219" t="s">
        <v>404</v>
      </c>
    </row>
    <row r="220" spans="12:19" ht="12.75">
      <c r="L220" s="27">
        <v>6</v>
      </c>
      <c r="M220" s="27">
        <v>4</v>
      </c>
      <c r="P220" s="93" t="s">
        <v>1014</v>
      </c>
      <c r="Q220" s="34" t="s">
        <v>91</v>
      </c>
      <c r="R220" s="57" t="s">
        <v>403</v>
      </c>
      <c r="S220" t="s">
        <v>404</v>
      </c>
    </row>
    <row r="221" spans="11:19" ht="12.75">
      <c r="K221" s="27"/>
      <c r="L221" s="27">
        <v>6</v>
      </c>
      <c r="M221" s="27">
        <v>4</v>
      </c>
      <c r="N221" s="27"/>
      <c r="O221" s="27"/>
      <c r="P221" s="93" t="s">
        <v>405</v>
      </c>
      <c r="Q221" s="34" t="s">
        <v>698</v>
      </c>
      <c r="R221" s="57" t="s">
        <v>403</v>
      </c>
      <c r="S221" t="s">
        <v>404</v>
      </c>
    </row>
    <row r="222" spans="11:17" ht="12.75">
      <c r="K222" s="27"/>
      <c r="L222" s="27"/>
      <c r="M222" s="27"/>
      <c r="N222" s="27"/>
      <c r="O222" s="27"/>
      <c r="P222" s="93"/>
      <c r="Q222" s="34"/>
    </row>
    <row r="223" spans="11:20" ht="12.75">
      <c r="K223" s="27"/>
      <c r="L223" s="27">
        <v>6</v>
      </c>
      <c r="M223" s="27">
        <v>6</v>
      </c>
      <c r="N223" s="27"/>
      <c r="O223" s="27"/>
      <c r="P223" s="93" t="s">
        <v>406</v>
      </c>
      <c r="Q223" s="34" t="s">
        <v>735</v>
      </c>
      <c r="R223" s="96" t="s">
        <v>407</v>
      </c>
      <c r="S223" s="34" t="s">
        <v>611</v>
      </c>
      <c r="T223" s="39"/>
    </row>
    <row r="224" spans="11:19" ht="12.75">
      <c r="K224" s="27"/>
      <c r="L224" s="27">
        <v>4</v>
      </c>
      <c r="M224" s="27">
        <v>4</v>
      </c>
      <c r="N224" s="27"/>
      <c r="O224" s="27"/>
      <c r="P224" s="93" t="s">
        <v>408</v>
      </c>
      <c r="Q224" s="34" t="s">
        <v>66</v>
      </c>
      <c r="R224" s="96" t="s">
        <v>409</v>
      </c>
      <c r="S224" s="34" t="s">
        <v>611</v>
      </c>
    </row>
    <row r="225" spans="11:19" ht="12.75">
      <c r="K225" s="27"/>
      <c r="L225" s="27">
        <v>1</v>
      </c>
      <c r="M225" s="27">
        <v>1</v>
      </c>
      <c r="N225" s="27"/>
      <c r="O225" s="27"/>
      <c r="P225" s="93" t="s">
        <v>410</v>
      </c>
      <c r="Q225" s="34" t="s">
        <v>64</v>
      </c>
      <c r="R225" s="96" t="s">
        <v>411</v>
      </c>
      <c r="S225" s="34" t="s">
        <v>611</v>
      </c>
    </row>
    <row r="226" spans="11:15" ht="12.75">
      <c r="K226" s="27"/>
      <c r="L226" s="27"/>
      <c r="M226" s="27"/>
      <c r="N226" s="27"/>
      <c r="O226" s="27"/>
    </row>
    <row r="227" spans="11:20" ht="12.75">
      <c r="K227" s="27">
        <v>1</v>
      </c>
      <c r="L227" s="27">
        <v>1</v>
      </c>
      <c r="M227" s="27">
        <v>1</v>
      </c>
      <c r="N227" s="27"/>
      <c r="O227" s="27"/>
      <c r="P227" s="93"/>
      <c r="R227" s="96" t="s">
        <v>423</v>
      </c>
      <c r="S227" t="s">
        <v>416</v>
      </c>
      <c r="T227" t="s">
        <v>424</v>
      </c>
    </row>
    <row r="228" spans="14:20" ht="12.75">
      <c r="N228" s="27" t="s">
        <v>586</v>
      </c>
      <c r="O228" s="27" t="s">
        <v>587</v>
      </c>
      <c r="S228" t="s">
        <v>416</v>
      </c>
      <c r="T228" s="25" t="s">
        <v>1002</v>
      </c>
    </row>
    <row r="229" spans="14:15" ht="12.75">
      <c r="N229" s="27" t="s">
        <v>588</v>
      </c>
      <c r="O229" s="27" t="s">
        <v>588</v>
      </c>
    </row>
    <row r="230" spans="14:15" ht="12.75">
      <c r="N230" s="23" t="s">
        <v>820</v>
      </c>
      <c r="O230" s="23" t="s">
        <v>820</v>
      </c>
    </row>
    <row r="231" spans="11:15" ht="12.75">
      <c r="K231" s="27"/>
      <c r="L231" s="27"/>
      <c r="M231" s="27"/>
      <c r="N231" s="27"/>
      <c r="O231" s="27"/>
    </row>
    <row r="232" spans="11:16" ht="12.75">
      <c r="K232" s="27"/>
      <c r="L232" s="27"/>
      <c r="M232" s="27"/>
      <c r="N232" s="27"/>
      <c r="O232" s="27"/>
      <c r="P232" s="76"/>
    </row>
    <row r="233" spans="11:18" ht="12.75">
      <c r="K233" s="27"/>
      <c r="L233" s="27"/>
      <c r="M233" s="27"/>
      <c r="N233" s="27"/>
      <c r="O233" s="27"/>
      <c r="R233" s="96"/>
    </row>
    <row r="234" spans="11:18" ht="12.75">
      <c r="K234" s="27"/>
      <c r="L234" s="27"/>
      <c r="M234" s="27"/>
      <c r="N234" s="27"/>
      <c r="O234" s="27"/>
      <c r="R234" s="45"/>
    </row>
    <row r="235" spans="11:18" ht="12.75">
      <c r="K235" s="27"/>
      <c r="L235" s="27"/>
      <c r="M235" s="27"/>
      <c r="N235" s="27"/>
      <c r="O235" s="27"/>
      <c r="R235" s="34"/>
    </row>
    <row r="236" spans="11:18" ht="12.75">
      <c r="K236" s="27"/>
      <c r="R236" s="45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27"/>
  <sheetViews>
    <sheetView workbookViewId="0" topLeftCell="G73">
      <selection activeCell="P34" sqref="P34:P35"/>
    </sheetView>
  </sheetViews>
  <sheetFormatPr defaultColWidth="9.140625" defaultRowHeight="12.75"/>
  <cols>
    <col min="1" max="10" width="10.421875" style="0" customWidth="1"/>
    <col min="11" max="11" width="11.7109375" style="0" customWidth="1"/>
    <col min="12" max="12" width="10.421875" style="0" customWidth="1"/>
    <col min="13" max="14" width="12.421875" style="0" customWidth="1"/>
    <col min="15" max="21" width="10.421875" style="0" customWidth="1"/>
    <col min="22" max="22" width="3.00390625" style="0" customWidth="1"/>
    <col min="23" max="31" width="10.421875" style="0" customWidth="1"/>
    <col min="32" max="32" width="3.140625" style="0" customWidth="1"/>
    <col min="33" max="35" width="10.421875" style="0" customWidth="1"/>
    <col min="36" max="36" width="11.7109375" style="0" customWidth="1"/>
    <col min="37" max="16384" width="10.421875" style="0" customWidth="1"/>
  </cols>
  <sheetData>
    <row r="1" spans="1:35" ht="12.75">
      <c r="A1" s="1" t="s">
        <v>699</v>
      </c>
      <c r="B1" t="s">
        <v>743</v>
      </c>
      <c r="C1" s="8" t="s">
        <v>719</v>
      </c>
      <c r="D1" s="3" t="s">
        <v>700</v>
      </c>
      <c r="E1" t="s">
        <v>743</v>
      </c>
      <c r="F1" s="8" t="s">
        <v>719</v>
      </c>
      <c r="G1" s="3" t="s">
        <v>701</v>
      </c>
      <c r="H1" t="s">
        <v>743</v>
      </c>
      <c r="I1" s="8" t="s">
        <v>719</v>
      </c>
      <c r="J1" s="3" t="s">
        <v>702</v>
      </c>
      <c r="K1" t="s">
        <v>743</v>
      </c>
      <c r="L1" s="8" t="s">
        <v>719</v>
      </c>
      <c r="M1" s="3" t="s">
        <v>706</v>
      </c>
      <c r="N1" t="s">
        <v>743</v>
      </c>
      <c r="O1" s="8" t="s">
        <v>719</v>
      </c>
      <c r="P1" s="3" t="s">
        <v>707</v>
      </c>
      <c r="Q1" t="s">
        <v>743</v>
      </c>
      <c r="R1" s="8" t="s">
        <v>719</v>
      </c>
      <c r="S1" s="3" t="s">
        <v>710</v>
      </c>
      <c r="T1" t="s">
        <v>743</v>
      </c>
      <c r="U1" s="8" t="s">
        <v>719</v>
      </c>
      <c r="V1" s="3"/>
      <c r="W1" s="3" t="s">
        <v>714</v>
      </c>
      <c r="X1" t="s">
        <v>743</v>
      </c>
      <c r="Y1" s="8" t="s">
        <v>719</v>
      </c>
      <c r="Z1" s="15" t="s">
        <v>711</v>
      </c>
      <c r="AA1" t="s">
        <v>743</v>
      </c>
      <c r="AB1" s="8" t="s">
        <v>719</v>
      </c>
      <c r="AC1" s="15" t="s">
        <v>712</v>
      </c>
      <c r="AD1" t="s">
        <v>743</v>
      </c>
      <c r="AE1" s="8" t="s">
        <v>719</v>
      </c>
      <c r="AF1" s="15"/>
      <c r="AG1" s="1" t="s">
        <v>721</v>
      </c>
      <c r="AH1" t="s">
        <v>743</v>
      </c>
      <c r="AI1" s="8" t="s">
        <v>719</v>
      </c>
    </row>
    <row r="2" spans="1:35" ht="12.75">
      <c r="A2" s="86" t="s">
        <v>644</v>
      </c>
      <c r="C2" s="8"/>
      <c r="D2" s="4"/>
      <c r="F2" s="8"/>
      <c r="G2" s="4"/>
      <c r="I2" s="8"/>
      <c r="J2" s="4"/>
      <c r="L2" s="8"/>
      <c r="M2" s="4"/>
      <c r="O2" s="8"/>
      <c r="P2" s="4"/>
      <c r="R2" s="8"/>
      <c r="S2" s="4"/>
      <c r="U2" s="8"/>
      <c r="V2" s="4"/>
      <c r="AB2" s="8"/>
      <c r="AC2" s="4"/>
      <c r="AE2" s="8"/>
      <c r="AF2" s="4"/>
      <c r="AG2" s="24" t="s">
        <v>722</v>
      </c>
      <c r="AI2" s="8"/>
    </row>
    <row r="3" spans="1:35" ht="12.75">
      <c r="A3" s="8">
        <v>0</v>
      </c>
      <c r="B3" s="8">
        <v>140</v>
      </c>
      <c r="C3" s="7">
        <f aca="true" t="shared" si="0" ref="C3:C12">B3*1.688</f>
        <v>236.32</v>
      </c>
      <c r="D3" s="8">
        <v>0</v>
      </c>
      <c r="E3" s="8"/>
      <c r="F3" s="7">
        <f aca="true" t="shared" si="1" ref="F3:F11">E3*1.688</f>
        <v>0</v>
      </c>
      <c r="G3" s="8">
        <v>0</v>
      </c>
      <c r="H3" s="7"/>
      <c r="I3" s="7">
        <f aca="true" t="shared" si="2" ref="I3:I11">H3*1.688</f>
        <v>0</v>
      </c>
      <c r="J3" s="8">
        <v>0</v>
      </c>
      <c r="K3" s="7"/>
      <c r="L3" s="7">
        <f>K3*1.688</f>
        <v>0</v>
      </c>
      <c r="M3" s="8">
        <v>0</v>
      </c>
      <c r="N3" s="7"/>
      <c r="O3" s="7">
        <f>N3*1.688</f>
        <v>0</v>
      </c>
      <c r="P3" s="8">
        <v>0</v>
      </c>
      <c r="Q3" s="7"/>
      <c r="R3" s="7">
        <f aca="true" t="shared" si="3" ref="R3:R11">Q3*1.688</f>
        <v>0</v>
      </c>
      <c r="S3" s="8">
        <v>0</v>
      </c>
      <c r="T3" s="7"/>
      <c r="U3" s="7">
        <f aca="true" t="shared" si="4" ref="U3:U11">T3*1.688</f>
        <v>0</v>
      </c>
      <c r="V3" s="8"/>
      <c r="W3" s="8">
        <v>0</v>
      </c>
      <c r="X3" s="8">
        <f>B3-7</f>
        <v>133</v>
      </c>
      <c r="Y3" s="7">
        <f aca="true" t="shared" si="5" ref="Y3:Y12">X3*1.688</f>
        <v>224.504</v>
      </c>
      <c r="Z3" s="8"/>
      <c r="AA3" s="7"/>
      <c r="AB3" s="7"/>
      <c r="AC3" s="8"/>
      <c r="AD3" s="7"/>
      <c r="AE3" s="7"/>
      <c r="AF3" s="8"/>
      <c r="AG3" s="8">
        <v>0</v>
      </c>
      <c r="AH3" s="8">
        <v>140</v>
      </c>
      <c r="AI3" s="7">
        <f aca="true" t="shared" si="6" ref="AI3:AI12">AH3*1.688</f>
        <v>236.32</v>
      </c>
    </row>
    <row r="4" spans="1:35" ht="12.75">
      <c r="A4" s="6">
        <v>10000</v>
      </c>
      <c r="B4" s="38">
        <v>162</v>
      </c>
      <c r="C4" s="7">
        <f t="shared" si="0"/>
        <v>273.456</v>
      </c>
      <c r="D4" s="6">
        <v>10000</v>
      </c>
      <c r="E4" s="33"/>
      <c r="F4" s="7">
        <f t="shared" si="1"/>
        <v>0</v>
      </c>
      <c r="G4" s="6">
        <v>10000</v>
      </c>
      <c r="H4" s="38"/>
      <c r="I4" s="7">
        <f t="shared" si="2"/>
        <v>0</v>
      </c>
      <c r="J4" s="6">
        <v>10000</v>
      </c>
      <c r="K4" s="51"/>
      <c r="L4" s="7">
        <f aca="true" t="shared" si="7" ref="L4:L14">K4*1.688</f>
        <v>0</v>
      </c>
      <c r="M4" s="6">
        <v>10000</v>
      </c>
      <c r="N4" s="51"/>
      <c r="O4" s="7">
        <f aca="true" t="shared" si="8" ref="O4:O14">N4*1.688</f>
        <v>0</v>
      </c>
      <c r="P4" s="6">
        <v>10000</v>
      </c>
      <c r="Q4" s="51"/>
      <c r="R4" s="7">
        <f t="shared" si="3"/>
        <v>0</v>
      </c>
      <c r="S4" s="6">
        <v>10000</v>
      </c>
      <c r="T4" s="51"/>
      <c r="U4" s="7">
        <f t="shared" si="4"/>
        <v>0</v>
      </c>
      <c r="V4" s="6"/>
      <c r="W4" s="6">
        <v>10000</v>
      </c>
      <c r="X4" s="8">
        <f>B4-7</f>
        <v>155</v>
      </c>
      <c r="Y4" s="7">
        <f t="shared" si="5"/>
        <v>261.64</v>
      </c>
      <c r="Z4" s="6"/>
      <c r="AA4" s="7"/>
      <c r="AB4" s="7"/>
      <c r="AC4" s="6"/>
      <c r="AD4" s="7"/>
      <c r="AE4" s="56"/>
      <c r="AF4" s="6"/>
      <c r="AG4" s="6">
        <v>10000</v>
      </c>
      <c r="AH4" s="38">
        <v>162</v>
      </c>
      <c r="AI4" s="7">
        <f t="shared" si="6"/>
        <v>273.456</v>
      </c>
    </row>
    <row r="5" spans="1:35" ht="12.75">
      <c r="A5" s="6">
        <v>20000</v>
      </c>
      <c r="B5" s="38">
        <v>190</v>
      </c>
      <c r="C5" s="7">
        <f t="shared" si="0"/>
        <v>320.71999999999997</v>
      </c>
      <c r="D5" s="6">
        <v>20000</v>
      </c>
      <c r="E5" s="38"/>
      <c r="F5" s="7">
        <f t="shared" si="1"/>
        <v>0</v>
      </c>
      <c r="G5" s="6">
        <v>20000</v>
      </c>
      <c r="H5" s="38"/>
      <c r="I5" s="7">
        <f t="shared" si="2"/>
        <v>0</v>
      </c>
      <c r="J5" s="6">
        <v>20000</v>
      </c>
      <c r="K5" s="51"/>
      <c r="L5" s="7">
        <f t="shared" si="7"/>
        <v>0</v>
      </c>
      <c r="M5" s="6">
        <v>20000</v>
      </c>
      <c r="N5" s="51"/>
      <c r="O5" s="7">
        <f t="shared" si="8"/>
        <v>0</v>
      </c>
      <c r="P5" s="6">
        <v>20000</v>
      </c>
      <c r="Q5" s="51"/>
      <c r="R5" s="7">
        <f t="shared" si="3"/>
        <v>0</v>
      </c>
      <c r="S5" s="6">
        <v>20000</v>
      </c>
      <c r="T5" s="51"/>
      <c r="U5" s="7">
        <f t="shared" si="4"/>
        <v>0</v>
      </c>
      <c r="V5" s="6"/>
      <c r="W5" s="6">
        <v>20000</v>
      </c>
      <c r="X5" s="8">
        <f>B5-7</f>
        <v>183</v>
      </c>
      <c r="Y5" s="7">
        <f t="shared" si="5"/>
        <v>308.904</v>
      </c>
      <c r="Z5" s="6"/>
      <c r="AA5" s="7"/>
      <c r="AB5" s="7"/>
      <c r="AC5" s="6"/>
      <c r="AD5" s="7"/>
      <c r="AE5" s="56"/>
      <c r="AF5" s="6"/>
      <c r="AG5" s="6">
        <v>20000</v>
      </c>
      <c r="AH5" s="38">
        <v>190</v>
      </c>
      <c r="AI5" s="7">
        <f t="shared" si="6"/>
        <v>320.71999999999997</v>
      </c>
    </row>
    <row r="6" spans="1:35" ht="12.75">
      <c r="A6" s="6">
        <v>30000</v>
      </c>
      <c r="B6" s="38">
        <v>226</v>
      </c>
      <c r="C6" s="7">
        <f t="shared" si="0"/>
        <v>381.488</v>
      </c>
      <c r="D6" s="6">
        <v>30000</v>
      </c>
      <c r="E6" s="38"/>
      <c r="F6" s="7">
        <f t="shared" si="1"/>
        <v>0</v>
      </c>
      <c r="G6" s="6">
        <v>30000</v>
      </c>
      <c r="H6" s="38"/>
      <c r="I6" s="7">
        <f t="shared" si="2"/>
        <v>0</v>
      </c>
      <c r="J6" s="6">
        <v>30000</v>
      </c>
      <c r="K6" s="51"/>
      <c r="L6" s="7">
        <f>K6*1.688</f>
        <v>0</v>
      </c>
      <c r="M6" s="6">
        <v>30000</v>
      </c>
      <c r="N6" s="51"/>
      <c r="O6" s="7">
        <f t="shared" si="8"/>
        <v>0</v>
      </c>
      <c r="P6" s="6">
        <v>30000</v>
      </c>
      <c r="Q6" s="51"/>
      <c r="R6" s="7">
        <f t="shared" si="3"/>
        <v>0</v>
      </c>
      <c r="S6" s="6">
        <v>30000</v>
      </c>
      <c r="T6" s="51"/>
      <c r="U6" s="7">
        <f t="shared" si="4"/>
        <v>0</v>
      </c>
      <c r="V6" s="13"/>
      <c r="W6" s="6">
        <v>30000</v>
      </c>
      <c r="X6" s="8">
        <f>B6-7</f>
        <v>219</v>
      </c>
      <c r="Y6" s="7">
        <f t="shared" si="5"/>
        <v>369.67199999999997</v>
      </c>
      <c r="Z6" s="6"/>
      <c r="AA6" s="7"/>
      <c r="AB6" s="7"/>
      <c r="AC6" s="6"/>
      <c r="AD6" s="7"/>
      <c r="AE6" s="56"/>
      <c r="AF6" s="6"/>
      <c r="AG6" s="6">
        <v>30000</v>
      </c>
      <c r="AH6" s="38">
        <v>226</v>
      </c>
      <c r="AI6" s="7">
        <f t="shared" si="6"/>
        <v>381.488</v>
      </c>
    </row>
    <row r="7" spans="1:35" ht="12.75">
      <c r="A7" s="13">
        <v>36000</v>
      </c>
      <c r="B7" s="51">
        <v>500</v>
      </c>
      <c r="C7" s="7">
        <f t="shared" si="0"/>
        <v>844</v>
      </c>
      <c r="D7" s="13">
        <v>36000</v>
      </c>
      <c r="E7" s="38"/>
      <c r="F7" s="7">
        <f t="shared" si="1"/>
        <v>0</v>
      </c>
      <c r="G7" s="13">
        <v>36000</v>
      </c>
      <c r="H7" s="38"/>
      <c r="I7" s="7">
        <f t="shared" si="2"/>
        <v>0</v>
      </c>
      <c r="J7" s="6">
        <v>40000</v>
      </c>
      <c r="K7" s="51"/>
      <c r="L7" s="7">
        <f>K7*1.688</f>
        <v>0</v>
      </c>
      <c r="M7" s="6">
        <v>40000</v>
      </c>
      <c r="N7" s="51"/>
      <c r="O7" s="7">
        <f t="shared" si="8"/>
        <v>0</v>
      </c>
      <c r="P7" s="13">
        <v>36000</v>
      </c>
      <c r="Q7" s="38"/>
      <c r="R7" s="7">
        <f t="shared" si="3"/>
        <v>0</v>
      </c>
      <c r="S7" s="6">
        <v>31600</v>
      </c>
      <c r="T7" s="2"/>
      <c r="U7" s="7">
        <f t="shared" si="4"/>
        <v>0</v>
      </c>
      <c r="V7" s="6"/>
      <c r="W7" s="13">
        <v>36000</v>
      </c>
      <c r="X7" s="7">
        <f aca="true" t="shared" si="9" ref="X7:X12">B7+7</f>
        <v>507</v>
      </c>
      <c r="Y7" s="7">
        <f t="shared" si="5"/>
        <v>855.8159999999999</v>
      </c>
      <c r="Z7" s="6"/>
      <c r="AA7" s="7"/>
      <c r="AB7" s="7"/>
      <c r="AC7" s="6"/>
      <c r="AD7" s="7"/>
      <c r="AE7" s="56"/>
      <c r="AF7" s="6"/>
      <c r="AG7" s="13">
        <v>36000</v>
      </c>
      <c r="AH7" s="51">
        <v>500</v>
      </c>
      <c r="AI7" s="7">
        <f t="shared" si="6"/>
        <v>844</v>
      </c>
    </row>
    <row r="8" spans="1:35" ht="12.75">
      <c r="A8" s="13">
        <v>30000</v>
      </c>
      <c r="B8" s="33">
        <v>525</v>
      </c>
      <c r="C8" s="7">
        <f t="shared" si="0"/>
        <v>886.1999999999999</v>
      </c>
      <c r="D8" s="13">
        <v>30000</v>
      </c>
      <c r="E8" s="38"/>
      <c r="F8" s="7">
        <f t="shared" si="1"/>
        <v>0</v>
      </c>
      <c r="G8" s="13">
        <v>30000</v>
      </c>
      <c r="H8" s="38"/>
      <c r="I8" s="7">
        <f t="shared" si="2"/>
        <v>0</v>
      </c>
      <c r="J8" s="6">
        <v>43500</v>
      </c>
      <c r="K8" s="2"/>
      <c r="L8" s="7">
        <f t="shared" si="7"/>
        <v>0</v>
      </c>
      <c r="M8" s="6">
        <v>41300</v>
      </c>
      <c r="N8" s="2"/>
      <c r="O8" s="7">
        <f t="shared" si="8"/>
        <v>0</v>
      </c>
      <c r="P8" s="13">
        <v>30000</v>
      </c>
      <c r="Q8" s="38"/>
      <c r="R8" s="7">
        <f t="shared" si="3"/>
        <v>0</v>
      </c>
      <c r="S8" s="13">
        <v>30000</v>
      </c>
      <c r="T8" s="38"/>
      <c r="U8" s="7">
        <f t="shared" si="4"/>
        <v>0</v>
      </c>
      <c r="V8" s="8"/>
      <c r="W8" s="13">
        <v>30000</v>
      </c>
      <c r="X8" s="7">
        <f t="shared" si="9"/>
        <v>532</v>
      </c>
      <c r="Y8" s="7">
        <f t="shared" si="5"/>
        <v>898.016</v>
      </c>
      <c r="Z8" s="6"/>
      <c r="AA8" s="7"/>
      <c r="AB8" s="7"/>
      <c r="AC8" s="6"/>
      <c r="AD8" s="7"/>
      <c r="AE8" s="56"/>
      <c r="AF8" s="6"/>
      <c r="AG8" s="13">
        <v>30000</v>
      </c>
      <c r="AH8" s="33">
        <v>525</v>
      </c>
      <c r="AI8" s="7">
        <f t="shared" si="6"/>
        <v>886.1999999999999</v>
      </c>
    </row>
    <row r="9" spans="1:35" ht="12.75">
      <c r="A9" s="13">
        <v>20000</v>
      </c>
      <c r="B9" s="38">
        <v>551</v>
      </c>
      <c r="C9" s="7">
        <f t="shared" si="0"/>
        <v>930.088</v>
      </c>
      <c r="D9" s="13">
        <v>20000</v>
      </c>
      <c r="E9" s="38"/>
      <c r="F9" s="7">
        <f t="shared" si="1"/>
        <v>0</v>
      </c>
      <c r="G9" s="13">
        <v>20000</v>
      </c>
      <c r="H9" s="38"/>
      <c r="I9" s="7">
        <f t="shared" si="2"/>
        <v>0</v>
      </c>
      <c r="J9" s="6">
        <v>40000</v>
      </c>
      <c r="K9" s="38"/>
      <c r="L9" s="7">
        <f t="shared" si="7"/>
        <v>0</v>
      </c>
      <c r="M9" s="6">
        <v>40000</v>
      </c>
      <c r="N9" s="38"/>
      <c r="O9" s="7">
        <f t="shared" si="8"/>
        <v>0</v>
      </c>
      <c r="P9" s="13">
        <v>20000</v>
      </c>
      <c r="Q9" s="38"/>
      <c r="R9" s="7">
        <f t="shared" si="3"/>
        <v>0</v>
      </c>
      <c r="S9" s="13">
        <v>20000</v>
      </c>
      <c r="T9" s="38"/>
      <c r="U9" s="7">
        <f t="shared" si="4"/>
        <v>0</v>
      </c>
      <c r="V9" s="13"/>
      <c r="W9" s="13">
        <v>20000</v>
      </c>
      <c r="X9" s="7">
        <f t="shared" si="9"/>
        <v>558</v>
      </c>
      <c r="Y9" s="7">
        <f t="shared" si="5"/>
        <v>941.904</v>
      </c>
      <c r="Z9" s="6"/>
      <c r="AA9" s="7"/>
      <c r="AB9" s="7"/>
      <c r="AC9" s="6"/>
      <c r="AD9" s="7"/>
      <c r="AE9" s="7"/>
      <c r="AF9" s="13"/>
      <c r="AG9" s="13">
        <v>20000</v>
      </c>
      <c r="AH9" s="38">
        <v>551</v>
      </c>
      <c r="AI9" s="7">
        <f t="shared" si="6"/>
        <v>930.088</v>
      </c>
    </row>
    <row r="10" spans="1:35" ht="12.75">
      <c r="A10" s="13">
        <v>10000</v>
      </c>
      <c r="B10" s="38">
        <v>569</v>
      </c>
      <c r="C10" s="7">
        <f t="shared" si="0"/>
        <v>960.472</v>
      </c>
      <c r="D10" s="13">
        <v>10000</v>
      </c>
      <c r="E10" s="38"/>
      <c r="F10" s="7">
        <f t="shared" si="1"/>
        <v>0</v>
      </c>
      <c r="G10" s="13">
        <v>10000</v>
      </c>
      <c r="H10" s="38"/>
      <c r="I10" s="7">
        <f t="shared" si="2"/>
        <v>0</v>
      </c>
      <c r="J10" s="13">
        <v>36000</v>
      </c>
      <c r="K10" s="38"/>
      <c r="L10" s="7">
        <f t="shared" si="7"/>
        <v>0</v>
      </c>
      <c r="M10" s="13">
        <v>36000</v>
      </c>
      <c r="N10" s="38"/>
      <c r="O10" s="7">
        <f t="shared" si="8"/>
        <v>0</v>
      </c>
      <c r="P10" s="13">
        <v>10000</v>
      </c>
      <c r="Q10" s="38"/>
      <c r="R10" s="7">
        <f t="shared" si="3"/>
        <v>0</v>
      </c>
      <c r="S10" s="13">
        <v>10000</v>
      </c>
      <c r="T10" s="38"/>
      <c r="U10" s="7">
        <f t="shared" si="4"/>
        <v>0</v>
      </c>
      <c r="V10" s="13"/>
      <c r="W10" s="13">
        <v>10000</v>
      </c>
      <c r="X10" s="7">
        <f t="shared" si="9"/>
        <v>576</v>
      </c>
      <c r="Y10" s="7">
        <f t="shared" si="5"/>
        <v>972.288</v>
      </c>
      <c r="Z10" s="6"/>
      <c r="AA10" s="7"/>
      <c r="AB10" s="7"/>
      <c r="AC10" s="6"/>
      <c r="AD10" s="7"/>
      <c r="AE10" s="56"/>
      <c r="AF10" s="13"/>
      <c r="AG10" s="13">
        <v>10000</v>
      </c>
      <c r="AH10" s="38">
        <v>569</v>
      </c>
      <c r="AI10" s="7">
        <f t="shared" si="6"/>
        <v>960.472</v>
      </c>
    </row>
    <row r="11" spans="1:35" ht="12.75">
      <c r="A11" s="13">
        <v>4500</v>
      </c>
      <c r="B11" s="38">
        <v>597</v>
      </c>
      <c r="C11" s="7">
        <f t="shared" si="0"/>
        <v>1007.736</v>
      </c>
      <c r="D11" s="8">
        <v>0</v>
      </c>
      <c r="E11" s="38"/>
      <c r="F11" s="7">
        <f t="shared" si="1"/>
        <v>0</v>
      </c>
      <c r="G11" s="8">
        <v>0</v>
      </c>
      <c r="H11" s="38"/>
      <c r="I11" s="7">
        <f t="shared" si="2"/>
        <v>0</v>
      </c>
      <c r="J11" s="13">
        <v>30000</v>
      </c>
      <c r="K11" s="38"/>
      <c r="L11" s="7">
        <f t="shared" si="7"/>
        <v>0</v>
      </c>
      <c r="M11" s="13">
        <v>30000</v>
      </c>
      <c r="N11" s="38"/>
      <c r="O11" s="7">
        <f t="shared" si="8"/>
        <v>0</v>
      </c>
      <c r="P11" s="8">
        <v>0</v>
      </c>
      <c r="Q11" s="38"/>
      <c r="R11" s="7">
        <f t="shared" si="3"/>
        <v>0</v>
      </c>
      <c r="S11" s="8">
        <v>0</v>
      </c>
      <c r="T11" s="38"/>
      <c r="U11" s="7">
        <f t="shared" si="4"/>
        <v>0</v>
      </c>
      <c r="V11" s="13"/>
      <c r="W11" s="13">
        <v>4500</v>
      </c>
      <c r="X11" s="7">
        <f t="shared" si="9"/>
        <v>604</v>
      </c>
      <c r="Y11" s="7">
        <f t="shared" si="5"/>
        <v>1019.552</v>
      </c>
      <c r="Z11" s="6"/>
      <c r="AA11" s="7"/>
      <c r="AB11" s="7"/>
      <c r="AC11" s="6"/>
      <c r="AD11" s="7"/>
      <c r="AE11" s="56"/>
      <c r="AF11" s="13"/>
      <c r="AG11" s="13">
        <v>4500</v>
      </c>
      <c r="AH11" s="38">
        <v>597</v>
      </c>
      <c r="AI11" s="7">
        <f t="shared" si="6"/>
        <v>1007.736</v>
      </c>
    </row>
    <row r="12" spans="1:35" ht="12.75">
      <c r="A12" s="8">
        <v>0</v>
      </c>
      <c r="B12">
        <v>562</v>
      </c>
      <c r="C12" s="7">
        <f t="shared" si="0"/>
        <v>948.656</v>
      </c>
      <c r="J12" s="13">
        <v>20000</v>
      </c>
      <c r="K12" s="38"/>
      <c r="L12" s="7">
        <f t="shared" si="7"/>
        <v>0</v>
      </c>
      <c r="M12" s="13">
        <v>20000</v>
      </c>
      <c r="N12" s="38"/>
      <c r="O12" s="7">
        <f t="shared" si="8"/>
        <v>0</v>
      </c>
      <c r="S12" s="13"/>
      <c r="T12" s="38"/>
      <c r="U12" s="7"/>
      <c r="W12" s="8">
        <v>0</v>
      </c>
      <c r="X12" s="7">
        <f t="shared" si="9"/>
        <v>569</v>
      </c>
      <c r="Y12" s="7">
        <f t="shared" si="5"/>
        <v>960.472</v>
      </c>
      <c r="Z12" s="6"/>
      <c r="AA12" s="7"/>
      <c r="AB12" s="7"/>
      <c r="AC12" s="6"/>
      <c r="AD12" s="7"/>
      <c r="AE12" s="56"/>
      <c r="AF12" s="13"/>
      <c r="AG12" s="8">
        <v>0</v>
      </c>
      <c r="AH12">
        <v>562</v>
      </c>
      <c r="AI12" s="7">
        <f t="shared" si="6"/>
        <v>948.656</v>
      </c>
    </row>
    <row r="13" spans="10:35" ht="12.75">
      <c r="J13" s="13">
        <v>10000</v>
      </c>
      <c r="K13" s="38"/>
      <c r="L13" s="7">
        <f t="shared" si="7"/>
        <v>0</v>
      </c>
      <c r="M13" s="13">
        <v>10000</v>
      </c>
      <c r="N13" s="38"/>
      <c r="O13" s="7">
        <f t="shared" si="8"/>
        <v>0</v>
      </c>
      <c r="S13" s="13"/>
      <c r="T13" s="38"/>
      <c r="U13" s="7"/>
      <c r="W13" s="6"/>
      <c r="X13" s="8"/>
      <c r="Y13" s="7"/>
      <c r="Z13" s="6"/>
      <c r="AA13" s="7"/>
      <c r="AB13" s="7"/>
      <c r="AC13" s="6"/>
      <c r="AD13" s="7"/>
      <c r="AE13" s="7"/>
      <c r="AF13" s="8"/>
      <c r="AG13" s="6"/>
      <c r="AH13" s="33"/>
      <c r="AI13" s="7"/>
    </row>
    <row r="14" spans="10:35" ht="12.75">
      <c r="J14" s="8">
        <v>0</v>
      </c>
      <c r="K14" s="38"/>
      <c r="L14" s="7">
        <f t="shared" si="7"/>
        <v>0</v>
      </c>
      <c r="M14" s="8">
        <v>0</v>
      </c>
      <c r="N14" s="38"/>
      <c r="O14" s="7">
        <f t="shared" si="8"/>
        <v>0</v>
      </c>
      <c r="S14" s="8"/>
      <c r="T14" s="38"/>
      <c r="U14" s="7"/>
      <c r="W14" s="13"/>
      <c r="X14" s="8"/>
      <c r="Y14" s="7"/>
      <c r="Z14" s="13"/>
      <c r="AA14" s="7"/>
      <c r="AB14" s="7"/>
      <c r="AC14" s="13"/>
      <c r="AD14" s="7"/>
      <c r="AE14" s="7"/>
      <c r="AG14" s="13"/>
      <c r="AH14" s="51"/>
      <c r="AI14" s="7"/>
    </row>
    <row r="15" spans="1:35" ht="12.75">
      <c r="A15" t="s">
        <v>317</v>
      </c>
      <c r="W15" s="13"/>
      <c r="X15" s="8"/>
      <c r="Y15" s="7"/>
      <c r="Z15" s="13"/>
      <c r="AA15" s="7"/>
      <c r="AB15" s="7"/>
      <c r="AC15" s="13"/>
      <c r="AD15" s="7"/>
      <c r="AE15" s="7"/>
      <c r="AG15" s="13"/>
      <c r="AH15" s="33"/>
      <c r="AI15" s="7"/>
    </row>
    <row r="16" spans="23:35" ht="12.75">
      <c r="W16" s="13"/>
      <c r="X16" s="8"/>
      <c r="Y16" s="7"/>
      <c r="Z16" s="13"/>
      <c r="AA16" s="7"/>
      <c r="AB16" s="7"/>
      <c r="AC16" s="13"/>
      <c r="AD16" s="7"/>
      <c r="AE16" s="7"/>
      <c r="AG16" s="13"/>
      <c r="AH16" s="38"/>
      <c r="AI16" s="7"/>
    </row>
    <row r="17" spans="19:35" ht="12.75">
      <c r="S17" s="26"/>
      <c r="W17" s="13"/>
      <c r="X17" s="8"/>
      <c r="Y17" s="7"/>
      <c r="Z17" s="13"/>
      <c r="AA17" s="7"/>
      <c r="AB17" s="7"/>
      <c r="AC17" s="13"/>
      <c r="AD17" s="7"/>
      <c r="AE17" s="7"/>
      <c r="AG17" s="13"/>
      <c r="AH17" s="38"/>
      <c r="AI17" s="7"/>
    </row>
    <row r="18" spans="11:35" ht="12.75">
      <c r="K18" s="25"/>
      <c r="W18" s="8"/>
      <c r="X18" s="8"/>
      <c r="Y18" s="7"/>
      <c r="Z18" s="8"/>
      <c r="AA18" s="7"/>
      <c r="AB18" s="7"/>
      <c r="AC18" s="8"/>
      <c r="AD18" s="7"/>
      <c r="AE18" s="7"/>
      <c r="AG18" s="8"/>
      <c r="AH18" s="8"/>
      <c r="AI18" s="7"/>
    </row>
    <row r="19" ht="12.75">
      <c r="M19" t="s">
        <v>316</v>
      </c>
    </row>
    <row r="20" spans="23:26" ht="12.75">
      <c r="W20" s="25" t="s">
        <v>723</v>
      </c>
      <c r="X20" s="25"/>
      <c r="Y20" s="25"/>
      <c r="Z20" s="25"/>
    </row>
    <row r="21" spans="1:26" ht="12.75">
      <c r="A21" t="s">
        <v>5</v>
      </c>
      <c r="O21" s="28"/>
      <c r="P21" s="14"/>
      <c r="W21" s="25" t="s">
        <v>730</v>
      </c>
      <c r="X21" s="25"/>
      <c r="Y21" s="25"/>
      <c r="Z21" s="25"/>
    </row>
    <row r="22" spans="11:26" ht="12.75">
      <c r="K22" s="55"/>
      <c r="M22" s="55" t="s">
        <v>645</v>
      </c>
      <c r="W22" s="25"/>
      <c r="X22" s="25"/>
      <c r="Y22" s="25"/>
      <c r="Z22" s="25"/>
    </row>
    <row r="23" spans="13:26" ht="12.75">
      <c r="M23" s="55" t="s">
        <v>646</v>
      </c>
      <c r="W23" s="25"/>
      <c r="X23" s="25"/>
      <c r="Y23" s="25"/>
      <c r="Z23" s="25"/>
    </row>
    <row r="24" spans="1:26" ht="12.75">
      <c r="A24" s="33" t="s">
        <v>781</v>
      </c>
      <c r="W24" s="25"/>
      <c r="X24" s="25"/>
      <c r="Y24" s="25"/>
      <c r="Z24" s="25"/>
    </row>
    <row r="25" spans="23:26" ht="12.75">
      <c r="W25" s="25"/>
      <c r="X25" s="25"/>
      <c r="Y25" s="25"/>
      <c r="Z25" s="25"/>
    </row>
    <row r="26" spans="1:33" ht="12.75">
      <c r="A26" t="s">
        <v>715</v>
      </c>
      <c r="K26" s="11"/>
      <c r="M26" s="11" t="s">
        <v>644</v>
      </c>
      <c r="N26" s="11"/>
      <c r="O26" s="11"/>
      <c r="P26" s="11"/>
      <c r="V26" s="8"/>
      <c r="W26" s="25"/>
      <c r="X26" s="25"/>
      <c r="Y26" s="25"/>
      <c r="Z26" s="25"/>
      <c r="AA26" s="14"/>
      <c r="AB26" s="14"/>
      <c r="AC26" s="14"/>
      <c r="AD26" s="14"/>
      <c r="AE26" s="66"/>
      <c r="AF26" s="14"/>
      <c r="AG26" s="14"/>
    </row>
    <row r="27" spans="13:26" ht="12.75">
      <c r="M27" s="23"/>
      <c r="N27" s="27"/>
      <c r="O27" s="117"/>
      <c r="P27" s="27"/>
      <c r="Q27" s="25"/>
      <c r="V27" s="22"/>
      <c r="W27" s="22"/>
      <c r="X27" s="8"/>
      <c r="Z27" s="8"/>
    </row>
    <row r="28" spans="13:26" ht="12.75">
      <c r="M28" s="69" t="s">
        <v>271</v>
      </c>
      <c r="N28" s="34" t="s">
        <v>648</v>
      </c>
      <c r="O28" s="8"/>
      <c r="W28" s="8"/>
      <c r="X28" s="22"/>
      <c r="Z28" s="6"/>
    </row>
    <row r="29" spans="9:26" ht="12.75">
      <c r="I29" s="1" t="s">
        <v>699</v>
      </c>
      <c r="K29" s="69"/>
      <c r="M29" s="27"/>
      <c r="N29" s="34"/>
      <c r="O29" s="8"/>
      <c r="W29" s="7"/>
      <c r="X29" s="8"/>
      <c r="Z29" s="6"/>
    </row>
    <row r="30" spans="11:26" ht="12.75">
      <c r="K30" s="27"/>
      <c r="M30" s="27" t="s">
        <v>649</v>
      </c>
      <c r="N30" s="34" t="s">
        <v>787</v>
      </c>
      <c r="U30" s="8"/>
      <c r="W30" s="7"/>
      <c r="X30" s="7"/>
      <c r="Z30" s="6"/>
    </row>
    <row r="31" spans="11:26" ht="12.75">
      <c r="K31" s="84"/>
      <c r="M31" s="84" t="s">
        <v>812</v>
      </c>
      <c r="N31" s="80"/>
      <c r="W31" s="7"/>
      <c r="X31" s="8"/>
      <c r="Z31" s="6"/>
    </row>
    <row r="32" spans="13:26" ht="12.75">
      <c r="M32" s="69"/>
      <c r="O32" s="8"/>
      <c r="W32" s="7"/>
      <c r="X32" s="8"/>
      <c r="Z32" s="6"/>
    </row>
    <row r="33" spans="11:26" ht="12.75">
      <c r="K33" s="60"/>
      <c r="M33" s="60">
        <v>2800</v>
      </c>
      <c r="N33" t="s">
        <v>792</v>
      </c>
      <c r="O33" s="8"/>
      <c r="P33" s="22"/>
      <c r="Q33" s="8"/>
      <c r="T33" s="22"/>
      <c r="U33" s="22"/>
      <c r="W33" s="7"/>
      <c r="X33" s="8"/>
      <c r="Z33" s="6"/>
    </row>
    <row r="34" spans="11:26" ht="12.75">
      <c r="K34" s="72"/>
      <c r="M34" s="72">
        <f>M33*6.5</f>
        <v>18200</v>
      </c>
      <c r="N34" t="s">
        <v>542</v>
      </c>
      <c r="O34" s="8"/>
      <c r="P34" s="24" t="s">
        <v>763</v>
      </c>
      <c r="Q34" s="8"/>
      <c r="T34" s="8"/>
      <c r="U34" s="8"/>
      <c r="W34" s="7"/>
      <c r="X34" s="8"/>
      <c r="Z34" s="6"/>
    </row>
    <row r="35" spans="11:31" ht="12.75">
      <c r="K35" s="72"/>
      <c r="M35" s="72">
        <f>M33*6.8</f>
        <v>19040</v>
      </c>
      <c r="N35" t="s">
        <v>791</v>
      </c>
      <c r="P35" s="24" t="s">
        <v>764</v>
      </c>
      <c r="Q35" s="8"/>
      <c r="T35" s="8"/>
      <c r="U35" s="7"/>
      <c r="W35" s="7"/>
      <c r="X35" s="8"/>
      <c r="AE35" s="57"/>
    </row>
    <row r="36" spans="11:24" ht="12.75">
      <c r="K36" s="23"/>
      <c r="M36" s="23" t="s">
        <v>811</v>
      </c>
      <c r="N36" s="24"/>
      <c r="P36" s="67"/>
      <c r="Q36" s="8"/>
      <c r="T36" s="67"/>
      <c r="U36" s="7"/>
      <c r="W36" s="7"/>
      <c r="X36" s="8"/>
    </row>
    <row r="37" spans="13:24" ht="12.75">
      <c r="M37" s="27"/>
      <c r="P37" s="8"/>
      <c r="Q37" s="8"/>
      <c r="T37" s="8"/>
      <c r="U37" s="7"/>
      <c r="W37" s="7"/>
      <c r="X37" s="8"/>
    </row>
    <row r="38" spans="13:24" ht="12.75">
      <c r="M38" s="27" t="s">
        <v>654</v>
      </c>
      <c r="N38" t="s">
        <v>653</v>
      </c>
      <c r="W38" s="7"/>
      <c r="X38" s="8"/>
    </row>
    <row r="39" spans="13:24" ht="12.75">
      <c r="M39" s="23" t="s">
        <v>672</v>
      </c>
      <c r="W39" s="7"/>
      <c r="X39" s="8"/>
    </row>
    <row r="40" spans="23:24" ht="12.75">
      <c r="W40" s="7"/>
      <c r="X40" s="8"/>
    </row>
    <row r="41" spans="13:24" ht="12.75">
      <c r="M41" s="39" t="s">
        <v>652</v>
      </c>
      <c r="N41" t="s">
        <v>693</v>
      </c>
      <c r="Q41" t="s">
        <v>686</v>
      </c>
      <c r="W41" s="7"/>
      <c r="X41" s="8"/>
    </row>
    <row r="42" spans="13:17" ht="12.75">
      <c r="M42" s="39" t="s">
        <v>865</v>
      </c>
      <c r="Q42" t="s">
        <v>685</v>
      </c>
    </row>
    <row r="43" spans="11:24" ht="12.75">
      <c r="K43" s="27"/>
      <c r="M43" s="23" t="s">
        <v>540</v>
      </c>
      <c r="T43" s="22"/>
      <c r="U43" s="22"/>
      <c r="W43" s="7"/>
      <c r="X43" s="8"/>
    </row>
    <row r="44" spans="11:21" ht="12.75">
      <c r="K44" s="23"/>
      <c r="N44" s="14" t="s">
        <v>687</v>
      </c>
      <c r="Q44" s="32" t="s">
        <v>607</v>
      </c>
      <c r="T44" s="8"/>
      <c r="U44" s="7"/>
    </row>
    <row r="45" spans="13:22" ht="12.75">
      <c r="M45" s="27" t="s">
        <v>680</v>
      </c>
      <c r="N45" t="s">
        <v>675</v>
      </c>
      <c r="Q45" s="62">
        <v>0.8496</v>
      </c>
      <c r="T45" s="67"/>
      <c r="U45" s="7"/>
      <c r="V45" s="8"/>
    </row>
    <row r="46" spans="11:22" ht="12.75">
      <c r="K46" s="27"/>
      <c r="M46" s="27" t="s">
        <v>681</v>
      </c>
      <c r="N46" t="s">
        <v>676</v>
      </c>
      <c r="Q46" s="62">
        <v>0.9168</v>
      </c>
      <c r="T46" s="8"/>
      <c r="U46" s="7"/>
      <c r="V46" s="8"/>
    </row>
    <row r="47" spans="11:22" ht="12.75">
      <c r="K47" s="23"/>
      <c r="M47" s="27" t="s">
        <v>682</v>
      </c>
      <c r="N47" t="s">
        <v>677</v>
      </c>
      <c r="Q47" s="62">
        <v>0.8954</v>
      </c>
      <c r="T47" s="22"/>
      <c r="U47" s="22"/>
      <c r="V47" s="8"/>
    </row>
    <row r="48" spans="13:21" ht="12.75">
      <c r="M48" s="27" t="s">
        <v>683</v>
      </c>
      <c r="N48" t="s">
        <v>678</v>
      </c>
      <c r="Q48" s="62">
        <v>0.8644</v>
      </c>
      <c r="S48" s="8"/>
      <c r="T48" s="8"/>
      <c r="U48" s="7"/>
    </row>
    <row r="49" spans="11:21" ht="12.75">
      <c r="K49" s="39"/>
      <c r="M49" s="23" t="s">
        <v>679</v>
      </c>
      <c r="N49" s="24" t="s">
        <v>684</v>
      </c>
      <c r="S49" s="8"/>
      <c r="T49" s="67"/>
      <c r="U49" s="7"/>
    </row>
    <row r="50" spans="9:21" ht="12.75">
      <c r="I50" s="1" t="s">
        <v>700</v>
      </c>
      <c r="K50" s="23"/>
      <c r="S50" s="8"/>
      <c r="T50" s="8"/>
      <c r="U50" s="8"/>
    </row>
    <row r="51" spans="13:19" ht="12.75">
      <c r="M51" s="39" t="s">
        <v>694</v>
      </c>
      <c r="N51" t="s">
        <v>651</v>
      </c>
      <c r="S51" s="8"/>
    </row>
    <row r="52" spans="11:15" ht="12.75">
      <c r="K52" s="69"/>
      <c r="M52" s="23" t="s">
        <v>540</v>
      </c>
      <c r="O52" s="8"/>
    </row>
    <row r="53" spans="11:17" ht="12.75">
      <c r="K53" s="23"/>
      <c r="M53" s="23"/>
      <c r="O53" s="8"/>
      <c r="P53" s="22"/>
      <c r="Q53" s="8"/>
    </row>
    <row r="54" spans="11:14" ht="12.75">
      <c r="K54" s="40"/>
      <c r="N54" s="14" t="s">
        <v>669</v>
      </c>
    </row>
    <row r="55" spans="13:14" ht="12.75">
      <c r="M55" s="39" t="s">
        <v>668</v>
      </c>
      <c r="N55" t="s">
        <v>667</v>
      </c>
    </row>
    <row r="56" spans="11:14" ht="12.75">
      <c r="K56" s="39"/>
      <c r="M56" s="39" t="s">
        <v>670</v>
      </c>
      <c r="N56" t="s">
        <v>671</v>
      </c>
    </row>
    <row r="57" spans="11:14" ht="12.75">
      <c r="K57" s="23"/>
      <c r="M57" s="39" t="s">
        <v>663</v>
      </c>
      <c r="N57" t="s">
        <v>662</v>
      </c>
    </row>
    <row r="58" spans="13:14" ht="12.75">
      <c r="M58" s="39" t="s">
        <v>666</v>
      </c>
      <c r="N58" t="s">
        <v>664</v>
      </c>
    </row>
    <row r="59" spans="11:13" ht="12.75">
      <c r="K59" s="75"/>
      <c r="M59" s="23" t="s">
        <v>665</v>
      </c>
    </row>
    <row r="60" ht="12.75">
      <c r="K60" s="23"/>
    </row>
    <row r="61" spans="13:17" ht="12.75">
      <c r="M61" s="39" t="s">
        <v>650</v>
      </c>
      <c r="N61" t="s">
        <v>2</v>
      </c>
      <c r="P61" s="7"/>
      <c r="Q61" s="8"/>
    </row>
    <row r="62" spans="11:17" ht="12.75">
      <c r="K62" s="27"/>
      <c r="M62" s="23" t="s">
        <v>854</v>
      </c>
      <c r="N62" t="s">
        <v>3</v>
      </c>
      <c r="P62" s="67"/>
      <c r="Q62" s="8"/>
    </row>
    <row r="63" spans="11:17" ht="12.75">
      <c r="K63" s="23"/>
      <c r="P63" s="8"/>
      <c r="Q63" s="8"/>
    </row>
    <row r="64" ht="12.75">
      <c r="N64" t="s">
        <v>562</v>
      </c>
    </row>
    <row r="65" ht="12.75">
      <c r="M65" s="69"/>
    </row>
    <row r="66" ht="12.75">
      <c r="M66" s="23"/>
    </row>
    <row r="67" spans="13:14" ht="12.75">
      <c r="M67" s="39" t="s">
        <v>656</v>
      </c>
      <c r="N67" t="s">
        <v>541</v>
      </c>
    </row>
    <row r="68" spans="11:13" ht="12.75">
      <c r="K68" s="32"/>
      <c r="M68" s="23" t="s">
        <v>545</v>
      </c>
    </row>
    <row r="69" ht="12.75">
      <c r="K69" s="23"/>
    </row>
    <row r="70" spans="11:14" ht="12.75">
      <c r="K70" s="79"/>
      <c r="M70" s="27" t="s">
        <v>537</v>
      </c>
      <c r="N70" t="s">
        <v>673</v>
      </c>
    </row>
    <row r="71" spans="9:13" ht="12.75">
      <c r="I71" s="1" t="s">
        <v>701</v>
      </c>
      <c r="K71" s="39"/>
      <c r="M71" s="23" t="s">
        <v>674</v>
      </c>
    </row>
    <row r="72" ht="12.75">
      <c r="K72" s="81"/>
    </row>
    <row r="73" spans="11:15" ht="12.75">
      <c r="K73" s="40"/>
      <c r="M73" s="68" t="s">
        <v>658</v>
      </c>
      <c r="N73" s="55" t="s">
        <v>659</v>
      </c>
      <c r="O73" s="25" t="s">
        <v>661</v>
      </c>
    </row>
    <row r="74" spans="11:14" ht="12.75">
      <c r="K74" s="79"/>
      <c r="M74" s="23" t="s">
        <v>657</v>
      </c>
      <c r="N74" t="s">
        <v>660</v>
      </c>
    </row>
    <row r="75" ht="12.75">
      <c r="K75" s="32"/>
    </row>
    <row r="76" spans="11:15" ht="12.75">
      <c r="K76" s="81"/>
      <c r="M76" s="75" t="s">
        <v>655</v>
      </c>
      <c r="N76" s="55" t="s">
        <v>852</v>
      </c>
      <c r="O76" s="25"/>
    </row>
    <row r="77" spans="11:15" ht="12.75">
      <c r="K77" s="79"/>
      <c r="M77" s="23" t="s">
        <v>543</v>
      </c>
      <c r="O77" s="23"/>
    </row>
    <row r="78" spans="11:13" ht="12.75">
      <c r="K78" s="39"/>
      <c r="M78" s="27"/>
    </row>
    <row r="79" spans="11:13" ht="12.75">
      <c r="K79" s="31"/>
      <c r="M79" s="23"/>
    </row>
    <row r="80" spans="11:15" ht="12.75">
      <c r="K80" s="40"/>
      <c r="M80" s="58" t="s">
        <v>647</v>
      </c>
      <c r="N80" s="11" t="s">
        <v>786</v>
      </c>
      <c r="O80" t="s">
        <v>866</v>
      </c>
    </row>
    <row r="81" spans="11:13" ht="12.75">
      <c r="K81" s="79"/>
      <c r="M81" s="23" t="s">
        <v>312</v>
      </c>
    </row>
    <row r="82" spans="11:16" ht="12.75">
      <c r="K82" s="39"/>
      <c r="M82" s="79">
        <v>18080</v>
      </c>
      <c r="N82" s="27" t="s">
        <v>867</v>
      </c>
      <c r="O82" s="34" t="s">
        <v>395</v>
      </c>
      <c r="P82" s="110" t="s">
        <v>311</v>
      </c>
    </row>
    <row r="83" spans="11:14" ht="12.75">
      <c r="K83" s="31"/>
      <c r="M83" s="39">
        <v>0.81</v>
      </c>
      <c r="N83" s="27" t="s">
        <v>784</v>
      </c>
    </row>
    <row r="84" spans="13:15" ht="12.75">
      <c r="M84" s="31">
        <f>(M82*M83)/3600</f>
        <v>4.0680000000000005</v>
      </c>
      <c r="N84" s="27" t="s">
        <v>868</v>
      </c>
      <c r="O84" s="34" t="s">
        <v>876</v>
      </c>
    </row>
    <row r="85" spans="13:14" ht="12.75">
      <c r="M85" s="23" t="s">
        <v>812</v>
      </c>
      <c r="N85" s="27"/>
    </row>
    <row r="86" ht="12.75">
      <c r="K86" s="27"/>
    </row>
    <row r="88" spans="13:15" ht="12.75">
      <c r="M88" s="64"/>
      <c r="N88" s="11" t="s">
        <v>799</v>
      </c>
      <c r="O88" s="64"/>
    </row>
    <row r="90" ht="12.75">
      <c r="N90" s="11" t="s">
        <v>644</v>
      </c>
    </row>
    <row r="91" ht="12.75">
      <c r="O91" s="23"/>
    </row>
    <row r="92" ht="12.75">
      <c r="I92" s="1"/>
    </row>
    <row r="93" spans="9:13" ht="12.75">
      <c r="I93" s="1" t="s">
        <v>702</v>
      </c>
      <c r="K93" s="23"/>
      <c r="L93" s="27" t="s">
        <v>800</v>
      </c>
      <c r="M93" s="27" t="s">
        <v>800</v>
      </c>
    </row>
    <row r="94" spans="11:16" ht="12.75">
      <c r="K94" s="24"/>
      <c r="L94" s="32" t="s">
        <v>397</v>
      </c>
      <c r="M94" s="32" t="s">
        <v>398</v>
      </c>
      <c r="N94" s="32" t="s">
        <v>70</v>
      </c>
      <c r="O94" s="32" t="s">
        <v>399</v>
      </c>
      <c r="P94" s="32" t="s">
        <v>400</v>
      </c>
    </row>
    <row r="95" spans="13:14" ht="12.75">
      <c r="M95" s="23"/>
      <c r="N95" s="23"/>
    </row>
    <row r="96" spans="12:19" ht="12.75">
      <c r="L96" s="39">
        <v>1</v>
      </c>
      <c r="M96" s="39">
        <v>1</v>
      </c>
      <c r="O96" t="s">
        <v>610</v>
      </c>
      <c r="P96" s="96" t="s">
        <v>411</v>
      </c>
      <c r="Q96" t="s">
        <v>442</v>
      </c>
      <c r="S96" s="57"/>
    </row>
    <row r="97" spans="12:17" ht="12.75">
      <c r="L97" s="39">
        <v>1</v>
      </c>
      <c r="M97" s="39">
        <v>1</v>
      </c>
      <c r="O97" t="s">
        <v>437</v>
      </c>
      <c r="P97" s="96" t="s">
        <v>407</v>
      </c>
      <c r="Q97" t="s">
        <v>442</v>
      </c>
    </row>
    <row r="98" spans="12:20" ht="12.75">
      <c r="L98" s="39">
        <v>1</v>
      </c>
      <c r="M98" s="39">
        <v>1</v>
      </c>
      <c r="O98" t="s">
        <v>313</v>
      </c>
      <c r="P98" s="96" t="s">
        <v>411</v>
      </c>
      <c r="Q98" t="s">
        <v>442</v>
      </c>
      <c r="R98" s="93"/>
      <c r="S98" s="16"/>
      <c r="T98" s="97"/>
    </row>
    <row r="99" spans="12:17" ht="12.75">
      <c r="L99" s="39">
        <v>1</v>
      </c>
      <c r="M99" s="39">
        <v>1</v>
      </c>
      <c r="O99" t="s">
        <v>314</v>
      </c>
      <c r="P99" s="96" t="s">
        <v>411</v>
      </c>
      <c r="Q99" t="s">
        <v>315</v>
      </c>
    </row>
    <row r="101" spans="12:17" ht="12.75">
      <c r="L101" s="39">
        <v>1</v>
      </c>
      <c r="M101" s="39">
        <v>1</v>
      </c>
      <c r="N101" s="93" t="s">
        <v>414</v>
      </c>
      <c r="O101" s="16" t="s">
        <v>415</v>
      </c>
      <c r="P101" s="96" t="s">
        <v>412</v>
      </c>
      <c r="Q101" t="s">
        <v>801</v>
      </c>
    </row>
    <row r="103" ht="12.75">
      <c r="N103" s="11" t="s">
        <v>0</v>
      </c>
    </row>
    <row r="105" spans="13:15" ht="12.75">
      <c r="M105" s="27" t="s">
        <v>849</v>
      </c>
      <c r="N105" t="s">
        <v>688</v>
      </c>
      <c r="O105" s="23"/>
    </row>
    <row r="106" spans="11:15" ht="12.75">
      <c r="K106" s="14"/>
      <c r="M106" s="27" t="s">
        <v>849</v>
      </c>
      <c r="N106" t="s">
        <v>797</v>
      </c>
      <c r="O106" s="23"/>
    </row>
    <row r="107" spans="13:16" ht="12.75">
      <c r="M107" s="27" t="s">
        <v>849</v>
      </c>
      <c r="N107" t="s">
        <v>553</v>
      </c>
      <c r="O107" s="23" t="s">
        <v>692</v>
      </c>
      <c r="P107" s="24" t="s">
        <v>691</v>
      </c>
    </row>
    <row r="108" spans="13:15" ht="12.75">
      <c r="M108" s="27" t="s">
        <v>849</v>
      </c>
      <c r="N108" t="s">
        <v>689</v>
      </c>
      <c r="O108" s="23" t="s">
        <v>690</v>
      </c>
    </row>
    <row r="114" ht="12.75">
      <c r="I114" s="1" t="s">
        <v>706</v>
      </c>
    </row>
    <row r="125" ht="12.75">
      <c r="N125" s="11"/>
    </row>
    <row r="126" ht="12.75">
      <c r="N126" s="23"/>
    </row>
    <row r="128" spans="11:15" ht="12.75">
      <c r="K128" s="27"/>
      <c r="L128" s="27"/>
      <c r="M128" s="27"/>
      <c r="N128" s="27"/>
      <c r="O128" s="27"/>
    </row>
    <row r="129" spans="11:18" ht="12.75">
      <c r="K129" s="32"/>
      <c r="L129" s="32"/>
      <c r="M129" s="32"/>
      <c r="N129" s="32"/>
      <c r="O129" s="32"/>
      <c r="P129" s="32"/>
      <c r="Q129" s="32"/>
      <c r="R129" s="32"/>
    </row>
    <row r="130" spans="11:13" ht="12.75">
      <c r="K130" s="23"/>
      <c r="L130" s="23"/>
      <c r="M130" s="23"/>
    </row>
    <row r="131" ht="12.75">
      <c r="K131" s="24"/>
    </row>
    <row r="133" spans="9:17" ht="12.75">
      <c r="I133" s="1" t="s">
        <v>707</v>
      </c>
      <c r="O133" s="27"/>
      <c r="Q133" s="57"/>
    </row>
    <row r="135" spans="11:19" ht="12.75">
      <c r="K135" s="27"/>
      <c r="L135" s="27"/>
      <c r="M135" s="27"/>
      <c r="N135" s="64"/>
      <c r="O135" s="27"/>
      <c r="P135" s="93"/>
      <c r="Q135" s="16"/>
      <c r="R135" s="96"/>
      <c r="S135" s="97"/>
    </row>
    <row r="136" spans="11:17" ht="12.75">
      <c r="K136" s="27"/>
      <c r="L136" s="27"/>
      <c r="M136" s="27"/>
      <c r="N136" s="64"/>
      <c r="O136" s="27"/>
      <c r="P136" s="93"/>
      <c r="Q136" s="16"/>
    </row>
    <row r="137" spans="11:18" ht="12.75">
      <c r="K137" s="27"/>
      <c r="L137" s="27"/>
      <c r="M137" s="27"/>
      <c r="N137" s="27"/>
      <c r="O137" s="27"/>
      <c r="P137" s="93"/>
      <c r="Q137" s="16"/>
      <c r="R137" s="57"/>
    </row>
    <row r="138" spans="11:18" ht="12.75">
      <c r="K138" s="27"/>
      <c r="L138" s="27"/>
      <c r="M138" s="27"/>
      <c r="N138" s="27"/>
      <c r="O138" s="27"/>
      <c r="P138" s="93"/>
      <c r="Q138" s="16"/>
      <c r="R138" s="57"/>
    </row>
    <row r="139" spans="11:17" ht="12.75">
      <c r="K139" s="27"/>
      <c r="Q139" s="8"/>
    </row>
    <row r="140" spans="11:18" ht="12.75">
      <c r="K140" s="27"/>
      <c r="L140" s="27"/>
      <c r="M140" s="27"/>
      <c r="Q140" s="8"/>
      <c r="R140" s="96"/>
    </row>
    <row r="141" spans="11:17" ht="12.75">
      <c r="K141" s="27"/>
      <c r="Q141" s="8"/>
    </row>
    <row r="142" spans="11:20" ht="12.75">
      <c r="K142" s="27"/>
      <c r="L142" s="27"/>
      <c r="M142" s="27"/>
      <c r="N142" s="27"/>
      <c r="O142" s="27"/>
      <c r="P142" s="93"/>
      <c r="Q142" s="16"/>
      <c r="R142" s="96"/>
      <c r="S142" s="34"/>
      <c r="T142" s="39"/>
    </row>
    <row r="143" spans="11:19" ht="12.75">
      <c r="K143" s="27"/>
      <c r="L143" s="27"/>
      <c r="M143" s="27"/>
      <c r="N143" s="27"/>
      <c r="O143" s="27"/>
      <c r="P143" s="93"/>
      <c r="Q143" s="16"/>
      <c r="R143" s="96"/>
      <c r="S143" s="34"/>
    </row>
    <row r="144" spans="11:19" ht="12.75">
      <c r="K144" s="27"/>
      <c r="L144" s="27"/>
      <c r="M144" s="27"/>
      <c r="N144" s="27"/>
      <c r="O144" s="27"/>
      <c r="P144" s="93"/>
      <c r="Q144" s="16"/>
      <c r="R144" s="96"/>
      <c r="S144" s="34"/>
    </row>
    <row r="145" spans="11:19" ht="12.75">
      <c r="K145" s="27"/>
      <c r="L145" s="27"/>
      <c r="M145" s="27"/>
      <c r="P145" s="93"/>
      <c r="Q145" s="16"/>
      <c r="R145" s="96"/>
      <c r="S145" s="34"/>
    </row>
    <row r="146" spans="11:17" ht="12.75">
      <c r="K146" s="27"/>
      <c r="Q146" s="8"/>
    </row>
    <row r="147" spans="11:18" ht="12.75">
      <c r="K147" s="27"/>
      <c r="L147" s="27"/>
      <c r="M147" s="27"/>
      <c r="N147" s="27"/>
      <c r="O147" s="27"/>
      <c r="Q147" s="16"/>
      <c r="R147" s="96"/>
    </row>
    <row r="148" spans="11:18" ht="12.75">
      <c r="K148" s="27"/>
      <c r="L148" s="27"/>
      <c r="M148" s="27"/>
      <c r="N148" s="27"/>
      <c r="O148" s="27"/>
      <c r="P148" s="93"/>
      <c r="Q148" s="16"/>
      <c r="R148" s="96"/>
    </row>
    <row r="149" spans="11:18" ht="12.75">
      <c r="K149" s="27"/>
      <c r="L149" s="27"/>
      <c r="M149" s="27"/>
      <c r="N149" s="27"/>
      <c r="O149" s="27"/>
      <c r="P149" s="93"/>
      <c r="Q149" s="16"/>
      <c r="R149" s="96"/>
    </row>
    <row r="150" spans="11:17" ht="12.75">
      <c r="K150" s="27"/>
      <c r="Q150" s="8"/>
    </row>
    <row r="151" spans="11:18" ht="12.75">
      <c r="K151" s="23"/>
      <c r="L151" s="27"/>
      <c r="M151" s="27"/>
      <c r="N151" s="27"/>
      <c r="O151" s="27"/>
      <c r="Q151" s="8"/>
      <c r="R151" s="96"/>
    </row>
    <row r="152" spans="11:13" ht="12.75">
      <c r="K152" s="27"/>
      <c r="L152" s="27"/>
      <c r="M152" s="27"/>
    </row>
    <row r="154" spans="9:14" ht="12.75">
      <c r="I154" s="1" t="s">
        <v>710</v>
      </c>
      <c r="N154" s="11"/>
    </row>
    <row r="155" ht="12.75">
      <c r="N155" s="23"/>
    </row>
    <row r="156" ht="12.75">
      <c r="I156" s="1"/>
    </row>
    <row r="157" spans="11:15" ht="12.75">
      <c r="K157" s="27"/>
      <c r="L157" s="27"/>
      <c r="M157" s="27"/>
      <c r="N157" s="27"/>
      <c r="O157" s="27"/>
    </row>
    <row r="158" spans="11:18" ht="12.75">
      <c r="K158" s="32"/>
      <c r="L158" s="32"/>
      <c r="M158" s="32"/>
      <c r="N158" s="32"/>
      <c r="O158" s="32"/>
      <c r="P158" s="32"/>
      <c r="Q158" s="32"/>
      <c r="R158" s="32"/>
    </row>
    <row r="159" spans="11:13" ht="12.75">
      <c r="K159" s="23"/>
      <c r="L159" s="23"/>
      <c r="M159" s="23"/>
    </row>
    <row r="160" ht="12.75">
      <c r="K160" s="24"/>
    </row>
    <row r="162" spans="11:19" ht="12.75">
      <c r="K162" s="27"/>
      <c r="L162" s="27"/>
      <c r="M162" s="27"/>
      <c r="N162" s="64"/>
      <c r="O162" s="27"/>
      <c r="P162" s="93"/>
      <c r="Q162" s="34"/>
      <c r="R162" s="96"/>
      <c r="S162" s="97"/>
    </row>
    <row r="163" spans="11:17" ht="12.75">
      <c r="K163" s="27"/>
      <c r="L163" s="27"/>
      <c r="M163" s="27"/>
      <c r="N163" s="64"/>
      <c r="O163" s="27"/>
      <c r="P163" s="93"/>
      <c r="Q163" s="34"/>
    </row>
    <row r="164" spans="11:19" ht="12.75">
      <c r="K164" s="27"/>
      <c r="L164" s="27"/>
      <c r="M164" s="27"/>
      <c r="N164" s="27"/>
      <c r="O164" s="27"/>
      <c r="Q164" s="24"/>
      <c r="R164" s="57"/>
      <c r="S164" s="97"/>
    </row>
    <row r="165" spans="11:19" ht="12.75">
      <c r="K165" s="27"/>
      <c r="L165" s="27"/>
      <c r="M165" s="27"/>
      <c r="N165" s="27"/>
      <c r="O165" s="27"/>
      <c r="R165" s="57"/>
      <c r="S165" s="97"/>
    </row>
    <row r="166" ht="12.75">
      <c r="K166" s="27"/>
    </row>
    <row r="167" spans="11:19" ht="12.75">
      <c r="K167" s="27"/>
      <c r="L167" s="27"/>
      <c r="M167" s="27"/>
      <c r="N167" s="27"/>
      <c r="O167" s="27"/>
      <c r="R167" s="57"/>
      <c r="S167" s="97"/>
    </row>
    <row r="168" ht="12.75">
      <c r="K168" s="27"/>
    </row>
    <row r="169" spans="11:18" ht="12.75">
      <c r="K169" s="27"/>
      <c r="L169" s="27"/>
      <c r="M169" s="27"/>
      <c r="N169" s="27"/>
      <c r="O169" s="27"/>
      <c r="R169" s="57"/>
    </row>
    <row r="170" spans="11:18" ht="12.75">
      <c r="K170" s="27"/>
      <c r="L170" s="27"/>
      <c r="M170" s="27"/>
      <c r="N170" s="27"/>
      <c r="O170" s="27"/>
      <c r="P170" s="93"/>
      <c r="R170" s="57"/>
    </row>
    <row r="171" spans="11:15" ht="12.75">
      <c r="K171" s="27"/>
      <c r="L171" s="27"/>
      <c r="M171" s="27"/>
      <c r="N171" s="27"/>
      <c r="O171" s="27"/>
    </row>
    <row r="172" spans="11:18" ht="12.75">
      <c r="K172" s="27"/>
      <c r="L172" s="27"/>
      <c r="M172" s="27"/>
      <c r="N172" s="27"/>
      <c r="O172" s="27"/>
      <c r="P172" s="93"/>
      <c r="Q172" s="34"/>
      <c r="R172" s="57"/>
    </row>
    <row r="173" spans="11:18" ht="12.75">
      <c r="K173" s="27"/>
      <c r="L173" s="27"/>
      <c r="M173" s="27"/>
      <c r="Q173" s="34"/>
      <c r="R173" s="57"/>
    </row>
    <row r="174" spans="11:18" ht="12.75">
      <c r="K174" s="27"/>
      <c r="L174" s="27"/>
      <c r="M174" s="27"/>
      <c r="N174" s="27"/>
      <c r="O174" s="27"/>
      <c r="P174" s="93"/>
      <c r="Q174" s="34"/>
      <c r="R174" s="57"/>
    </row>
    <row r="175" ht="12.75">
      <c r="K175" s="27"/>
    </row>
    <row r="176" spans="9:18" ht="12.75">
      <c r="I176" s="1"/>
      <c r="K176" s="27"/>
      <c r="L176" s="27"/>
      <c r="M176" s="27"/>
      <c r="R176" s="96"/>
    </row>
    <row r="177" spans="11:18" ht="12.75">
      <c r="K177" s="27"/>
      <c r="L177" s="27"/>
      <c r="M177" s="27"/>
      <c r="R177" s="96"/>
    </row>
    <row r="178" spans="11:13" ht="12.75">
      <c r="K178" s="23"/>
      <c r="L178" s="27"/>
      <c r="M178" s="27"/>
    </row>
    <row r="179" spans="11:13" ht="12.75">
      <c r="K179" s="27"/>
      <c r="L179" s="27"/>
      <c r="M179" s="27"/>
    </row>
    <row r="180" ht="12.75">
      <c r="K180" s="27"/>
    </row>
    <row r="181" spans="11:18" ht="12.75">
      <c r="K181" s="27"/>
      <c r="L181" s="27"/>
      <c r="M181" s="27"/>
      <c r="R181" s="96"/>
    </row>
    <row r="182" ht="12.75">
      <c r="K182" s="27"/>
    </row>
    <row r="183" spans="11:20" ht="12.75">
      <c r="K183" s="27"/>
      <c r="L183" s="27"/>
      <c r="M183" s="27"/>
      <c r="N183" s="27"/>
      <c r="O183" s="27"/>
      <c r="P183" s="93"/>
      <c r="Q183" s="34"/>
      <c r="R183" s="96"/>
      <c r="S183" s="34"/>
      <c r="T183" s="39"/>
    </row>
    <row r="184" spans="11:19" ht="12.75">
      <c r="K184" s="27"/>
      <c r="L184" s="27"/>
      <c r="M184" s="27"/>
      <c r="N184" s="27"/>
      <c r="O184" s="27"/>
      <c r="P184" s="93"/>
      <c r="Q184" s="34"/>
      <c r="R184" s="96"/>
      <c r="S184" s="34"/>
    </row>
    <row r="185" spans="11:19" ht="12.75">
      <c r="K185" s="27"/>
      <c r="L185" s="27"/>
      <c r="M185" s="27"/>
      <c r="N185" s="27"/>
      <c r="O185" s="27"/>
      <c r="P185" s="93"/>
      <c r="Q185" s="34"/>
      <c r="R185" s="96"/>
      <c r="S185" s="34"/>
    </row>
    <row r="186" spans="11:15" ht="12.75">
      <c r="K186" s="27"/>
      <c r="L186" s="27"/>
      <c r="M186" s="27"/>
      <c r="N186" s="27"/>
      <c r="O186" s="27"/>
    </row>
    <row r="187" spans="11:18" ht="12.75">
      <c r="K187" s="27"/>
      <c r="L187" s="27"/>
      <c r="M187" s="27"/>
      <c r="N187" s="27"/>
      <c r="O187" s="27"/>
      <c r="P187" s="93"/>
      <c r="Q187" s="34"/>
      <c r="R187" s="96"/>
    </row>
    <row r="188" spans="11:18" ht="12.75">
      <c r="K188" s="27"/>
      <c r="L188" s="27"/>
      <c r="M188" s="27"/>
      <c r="N188" s="27"/>
      <c r="O188" s="27"/>
      <c r="P188" s="93"/>
      <c r="Q188" s="34"/>
      <c r="R188" s="96"/>
    </row>
    <row r="190" spans="12:18" ht="12.75">
      <c r="L190" s="27"/>
      <c r="M190" s="27"/>
      <c r="N190" s="27"/>
      <c r="O190" s="27"/>
      <c r="R190" s="96"/>
    </row>
    <row r="191" spans="12:15" ht="12.75">
      <c r="L191" s="27"/>
      <c r="M191" s="27"/>
      <c r="N191" s="27"/>
      <c r="O191" s="27"/>
    </row>
    <row r="192" spans="12:15" ht="12.75">
      <c r="L192" s="27"/>
      <c r="M192" s="27"/>
      <c r="N192" s="27"/>
      <c r="O192" s="27"/>
    </row>
    <row r="194" ht="12.75">
      <c r="N194" s="11"/>
    </row>
    <row r="195" ht="12.75">
      <c r="N195" s="23"/>
    </row>
    <row r="197" spans="11:15" ht="12.75">
      <c r="K197" s="27"/>
      <c r="L197" s="27"/>
      <c r="M197" s="27"/>
      <c r="N197" s="27"/>
      <c r="O197" s="27"/>
    </row>
    <row r="198" spans="11:18" ht="12.75">
      <c r="K198" s="32"/>
      <c r="L198" s="32"/>
      <c r="M198" s="32"/>
      <c r="N198" s="32"/>
      <c r="O198" s="32"/>
      <c r="P198" s="32"/>
      <c r="Q198" s="32"/>
      <c r="R198" s="32"/>
    </row>
    <row r="199" spans="11:13" ht="12.75">
      <c r="K199" s="23"/>
      <c r="L199" s="23"/>
      <c r="M199" s="23"/>
    </row>
    <row r="200" spans="11:20" ht="12.75">
      <c r="K200" s="24"/>
      <c r="T200" s="24"/>
    </row>
    <row r="201" spans="16:20" ht="12.75">
      <c r="P201" s="93"/>
      <c r="T201" s="24"/>
    </row>
    <row r="202" spans="11:19" ht="12.75">
      <c r="K202" s="27"/>
      <c r="L202" s="27"/>
      <c r="M202" s="27"/>
      <c r="N202" s="27"/>
      <c r="O202" s="27"/>
      <c r="P202" s="93"/>
      <c r="Q202" s="34"/>
      <c r="R202" s="96"/>
      <c r="S202" s="97"/>
    </row>
    <row r="203" spans="11:17" ht="12.75">
      <c r="K203" s="27"/>
      <c r="L203" s="27"/>
      <c r="M203" s="27"/>
      <c r="N203" s="27"/>
      <c r="O203" s="27"/>
      <c r="P203" s="93"/>
      <c r="Q203" s="34"/>
    </row>
    <row r="204" spans="11:18" ht="12.75">
      <c r="K204" s="27"/>
      <c r="L204" s="27"/>
      <c r="M204" s="27"/>
      <c r="N204" s="27"/>
      <c r="O204" s="27"/>
      <c r="P204" s="93"/>
      <c r="Q204" s="34"/>
      <c r="R204" s="96"/>
    </row>
    <row r="205" spans="11:18" ht="12.75">
      <c r="K205" s="27"/>
      <c r="L205" s="27"/>
      <c r="M205" s="27"/>
      <c r="N205" s="27"/>
      <c r="O205" s="27"/>
      <c r="P205" s="93"/>
      <c r="Q205" s="34"/>
      <c r="R205" s="96"/>
    </row>
    <row r="206" spans="11:18" ht="12.75">
      <c r="K206" s="27"/>
      <c r="L206" s="27"/>
      <c r="M206" s="27"/>
      <c r="N206" s="27"/>
      <c r="O206" s="27"/>
      <c r="P206" s="93"/>
      <c r="Q206" s="34"/>
      <c r="R206" s="96"/>
    </row>
    <row r="207" ht="12.75">
      <c r="K207" s="27"/>
    </row>
    <row r="208" spans="11:18" ht="12.75">
      <c r="K208" s="27"/>
      <c r="L208" s="27"/>
      <c r="M208" s="27"/>
      <c r="N208" s="27"/>
      <c r="O208" s="27"/>
      <c r="P208" s="93"/>
      <c r="Q208" s="34"/>
      <c r="R208" s="57"/>
    </row>
    <row r="209" spans="11:18" ht="12.75">
      <c r="K209" s="27"/>
      <c r="L209" s="27"/>
      <c r="M209" s="27"/>
      <c r="N209" s="27"/>
      <c r="O209" s="27"/>
      <c r="P209" s="93"/>
      <c r="Q209" s="34"/>
      <c r="R209" s="57"/>
    </row>
    <row r="210" spans="11:17" ht="12.75">
      <c r="K210" s="27"/>
      <c r="L210" s="27"/>
      <c r="M210" s="27"/>
      <c r="N210" s="27"/>
      <c r="O210" s="27"/>
      <c r="P210" s="93"/>
      <c r="Q210" s="34"/>
    </row>
    <row r="211" spans="11:20" ht="12.75">
      <c r="K211" s="27"/>
      <c r="L211" s="27"/>
      <c r="M211" s="27"/>
      <c r="N211" s="27"/>
      <c r="O211" s="27"/>
      <c r="P211" s="93"/>
      <c r="Q211" s="34"/>
      <c r="R211" s="96"/>
      <c r="S211" s="34"/>
      <c r="T211" s="39"/>
    </row>
    <row r="212" spans="11:19" ht="12.75">
      <c r="K212" s="27"/>
      <c r="L212" s="27"/>
      <c r="M212" s="27"/>
      <c r="N212" s="27"/>
      <c r="O212" s="27"/>
      <c r="P212" s="93"/>
      <c r="Q212" s="34"/>
      <c r="R212" s="96"/>
      <c r="S212" s="34"/>
    </row>
    <row r="213" spans="11:19" ht="12.75">
      <c r="K213" s="27"/>
      <c r="L213" s="27"/>
      <c r="M213" s="27"/>
      <c r="N213" s="27"/>
      <c r="O213" s="27"/>
      <c r="P213" s="93"/>
      <c r="Q213" s="34"/>
      <c r="R213" s="96"/>
      <c r="S213" s="34"/>
    </row>
    <row r="214" spans="11:15" ht="12.75">
      <c r="K214" s="27"/>
      <c r="L214" s="27"/>
      <c r="M214" s="27"/>
      <c r="N214" s="27"/>
      <c r="O214" s="27"/>
    </row>
    <row r="215" spans="11:18" ht="12.75">
      <c r="K215" s="27"/>
      <c r="L215" s="27"/>
      <c r="M215" s="27"/>
      <c r="N215" s="27"/>
      <c r="O215" s="27"/>
      <c r="P215" s="93"/>
      <c r="R215" s="96"/>
    </row>
    <row r="216" spans="14:15" ht="12.75">
      <c r="N216" s="27"/>
      <c r="O216" s="27"/>
    </row>
    <row r="217" spans="14:15" ht="12.75">
      <c r="N217" s="27"/>
      <c r="O217" s="27"/>
    </row>
    <row r="218" spans="14:15" ht="12.75">
      <c r="N218" s="23"/>
      <c r="O218" s="23"/>
    </row>
    <row r="222" spans="11:15" ht="12.75">
      <c r="K222" s="27"/>
      <c r="L222" s="27"/>
      <c r="M222" s="27"/>
      <c r="N222" s="27"/>
      <c r="O222" s="27"/>
    </row>
    <row r="223" spans="11:16" ht="12.75">
      <c r="K223" s="27"/>
      <c r="L223" s="27"/>
      <c r="M223" s="27"/>
      <c r="N223" s="27"/>
      <c r="O223" s="27"/>
      <c r="P223" s="76"/>
    </row>
    <row r="224" spans="11:18" ht="12.75">
      <c r="K224" s="27"/>
      <c r="L224" s="27"/>
      <c r="M224" s="27"/>
      <c r="N224" s="27"/>
      <c r="O224" s="27"/>
      <c r="R224" s="96"/>
    </row>
    <row r="225" spans="11:18" ht="12.75">
      <c r="K225" s="27"/>
      <c r="L225" s="27"/>
      <c r="M225" s="27"/>
      <c r="N225" s="27"/>
      <c r="O225" s="27"/>
      <c r="R225" s="45"/>
    </row>
    <row r="226" spans="11:18" ht="12.75">
      <c r="K226" s="27"/>
      <c r="L226" s="27"/>
      <c r="M226" s="27"/>
      <c r="N226" s="27"/>
      <c r="O226" s="27"/>
      <c r="R226" s="34"/>
    </row>
    <row r="227" spans="11:18" ht="12.75">
      <c r="K227" s="27"/>
      <c r="R227" s="45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0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35" sqref="L35"/>
    </sheetView>
  </sheetViews>
  <sheetFormatPr defaultColWidth="9.140625" defaultRowHeight="12.75"/>
  <cols>
    <col min="1" max="1" width="16.00390625" style="0" customWidth="1"/>
    <col min="2" max="2" width="11.00390625" style="0" customWidth="1"/>
    <col min="3" max="3" width="9.28125" style="0" customWidth="1"/>
    <col min="4" max="4" width="1.8515625" style="0" customWidth="1"/>
    <col min="7" max="7" width="10.00390625" style="0" customWidth="1"/>
    <col min="8" max="9" width="10.28125" style="0" customWidth="1"/>
    <col min="11" max="11" width="10.57421875" style="0" bestFit="1" customWidth="1"/>
    <col min="12" max="12" width="9.57421875" style="0" customWidth="1"/>
    <col min="14" max="14" width="3.28125" style="0" customWidth="1"/>
  </cols>
  <sheetData>
    <row r="1" spans="1:18" ht="18">
      <c r="A1" s="18" t="s">
        <v>703</v>
      </c>
      <c r="B1" s="18" t="s">
        <v>704</v>
      </c>
      <c r="C1" s="18"/>
      <c r="E1" s="61">
        <v>1.2</v>
      </c>
      <c r="F1" s="19" t="s">
        <v>720</v>
      </c>
      <c r="H1" s="44"/>
      <c r="I1" s="44"/>
      <c r="J1" s="34"/>
      <c r="K1" s="34"/>
      <c r="L1" s="34"/>
      <c r="M1" s="44"/>
      <c r="N1" s="34"/>
      <c r="O1" s="34"/>
      <c r="P1" s="34"/>
      <c r="Q1" s="34"/>
      <c r="R1" s="34"/>
    </row>
    <row r="2" spans="1:18" ht="18">
      <c r="A2" s="9"/>
      <c r="B2" s="29" t="s">
        <v>709</v>
      </c>
      <c r="C2" s="29" t="s">
        <v>708</v>
      </c>
      <c r="E2" s="29" t="s">
        <v>709</v>
      </c>
      <c r="F2" s="29" t="s">
        <v>708</v>
      </c>
      <c r="H2" s="45"/>
      <c r="I2" s="34" t="s">
        <v>775</v>
      </c>
      <c r="J2" s="34"/>
      <c r="K2" s="34"/>
      <c r="L2" s="34"/>
      <c r="M2" s="34"/>
      <c r="N2" s="34"/>
      <c r="O2" s="34"/>
      <c r="P2" s="34"/>
      <c r="Q2" s="34"/>
      <c r="R2" s="34"/>
    </row>
    <row r="3" spans="1:20" ht="18">
      <c r="A3" s="9" t="s">
        <v>705</v>
      </c>
      <c r="B3" s="37">
        <v>761.2</v>
      </c>
      <c r="C3" s="36">
        <f aca="true" t="shared" si="0" ref="C3:C19">B3*0.869</f>
        <v>661.4828</v>
      </c>
      <c r="E3" s="30">
        <f>B3*E1</f>
        <v>913.44</v>
      </c>
      <c r="F3" s="30">
        <f aca="true" t="shared" si="1" ref="F3:F19">E3*0.869</f>
        <v>793.77936</v>
      </c>
      <c r="H3" s="46"/>
      <c r="I3" s="34"/>
      <c r="J3" s="47"/>
      <c r="K3" s="48"/>
      <c r="L3" s="49"/>
      <c r="M3" s="34"/>
      <c r="N3" s="34"/>
      <c r="O3" s="34"/>
      <c r="P3" s="34"/>
      <c r="Q3" s="34"/>
      <c r="R3" s="16"/>
      <c r="T3" s="8"/>
    </row>
    <row r="4" spans="1:20" ht="18">
      <c r="A4" s="10">
        <v>5000</v>
      </c>
      <c r="B4" s="37">
        <v>748</v>
      </c>
      <c r="C4" s="36">
        <f t="shared" si="0"/>
        <v>650.012</v>
      </c>
      <c r="E4" s="30">
        <f>B4*E1</f>
        <v>897.6</v>
      </c>
      <c r="F4" s="30">
        <f t="shared" si="1"/>
        <v>780.0144</v>
      </c>
      <c r="H4" s="46"/>
      <c r="I4" s="34" t="s">
        <v>766</v>
      </c>
      <c r="J4" s="47"/>
      <c r="K4" s="50"/>
      <c r="L4" s="34"/>
      <c r="M4" s="50"/>
      <c r="N4" s="34"/>
      <c r="O4" s="50"/>
      <c r="P4" s="50"/>
      <c r="Q4" s="34"/>
      <c r="R4" s="16"/>
      <c r="T4" s="6"/>
    </row>
    <row r="5" spans="1:20" ht="18">
      <c r="A5" s="10">
        <v>10000</v>
      </c>
      <c r="B5" s="37">
        <v>734.6</v>
      </c>
      <c r="C5" s="36">
        <f t="shared" si="0"/>
        <v>638.3674</v>
      </c>
      <c r="E5" s="30">
        <f>B5*E1</f>
        <v>881.52</v>
      </c>
      <c r="F5" s="30">
        <f t="shared" si="1"/>
        <v>766.04088</v>
      </c>
      <c r="H5" s="46"/>
      <c r="I5" s="34" t="s">
        <v>767</v>
      </c>
      <c r="J5" s="47"/>
      <c r="K5" s="50"/>
      <c r="L5" s="34"/>
      <c r="M5" s="50"/>
      <c r="N5" s="34"/>
      <c r="O5" s="50"/>
      <c r="P5" s="50"/>
      <c r="Q5" s="34"/>
      <c r="R5" s="16"/>
      <c r="T5" s="6"/>
    </row>
    <row r="6" spans="1:20" ht="18">
      <c r="A6" s="10">
        <v>15000</v>
      </c>
      <c r="B6" s="37">
        <v>721</v>
      </c>
      <c r="C6" s="36">
        <f t="shared" si="0"/>
        <v>626.549</v>
      </c>
      <c r="E6" s="30">
        <f>B6*E1</f>
        <v>865.1999999999999</v>
      </c>
      <c r="F6" s="30">
        <f t="shared" si="1"/>
        <v>751.8588</v>
      </c>
      <c r="H6" s="46"/>
      <c r="I6" s="34" t="s">
        <v>774</v>
      </c>
      <c r="J6" s="47"/>
      <c r="K6" s="50"/>
      <c r="L6" s="34"/>
      <c r="M6" s="50"/>
      <c r="N6" s="34"/>
      <c r="O6" s="50"/>
      <c r="P6" s="50"/>
      <c r="Q6" s="34"/>
      <c r="R6" s="16"/>
      <c r="T6" s="6"/>
    </row>
    <row r="7" spans="1:20" ht="18">
      <c r="A7" s="10">
        <v>20000</v>
      </c>
      <c r="B7" s="37">
        <v>707</v>
      </c>
      <c r="C7" s="36">
        <f t="shared" si="0"/>
        <v>614.383</v>
      </c>
      <c r="E7" s="30">
        <f>B7*E1</f>
        <v>848.4</v>
      </c>
      <c r="F7" s="30">
        <f t="shared" si="1"/>
        <v>737.2596</v>
      </c>
      <c r="H7" s="46"/>
      <c r="I7" s="34" t="s">
        <v>768</v>
      </c>
      <c r="J7" s="47"/>
      <c r="K7" s="50"/>
      <c r="L7" s="34"/>
      <c r="M7" s="50"/>
      <c r="N7" s="34"/>
      <c r="O7" s="50"/>
      <c r="P7" s="50"/>
      <c r="Q7" s="34"/>
      <c r="R7" s="16"/>
      <c r="T7" s="6"/>
    </row>
    <row r="8" spans="1:20" ht="18">
      <c r="A8" s="10">
        <v>25000</v>
      </c>
      <c r="B8" s="37">
        <v>692.8</v>
      </c>
      <c r="C8" s="36">
        <f t="shared" si="0"/>
        <v>602.0432</v>
      </c>
      <c r="E8" s="30">
        <f>B8*E1</f>
        <v>831.3599999999999</v>
      </c>
      <c r="F8" s="30">
        <f t="shared" si="1"/>
        <v>722.45184</v>
      </c>
      <c r="H8" s="46"/>
      <c r="I8" s="34"/>
      <c r="J8" s="47"/>
      <c r="K8" s="50"/>
      <c r="L8" s="34"/>
      <c r="M8" s="50"/>
      <c r="N8" s="34"/>
      <c r="O8" s="50"/>
      <c r="P8" s="50"/>
      <c r="Q8" s="34"/>
      <c r="R8" s="16"/>
      <c r="T8" s="6"/>
    </row>
    <row r="9" spans="1:20" ht="18">
      <c r="A9" s="10">
        <v>30000</v>
      </c>
      <c r="B9" s="37">
        <v>678.3</v>
      </c>
      <c r="C9" s="36">
        <f t="shared" si="0"/>
        <v>589.4427</v>
      </c>
      <c r="E9" s="30">
        <f>B9*E1</f>
        <v>813.9599999999999</v>
      </c>
      <c r="F9" s="30">
        <f t="shared" si="1"/>
        <v>707.33124</v>
      </c>
      <c r="H9" s="46"/>
      <c r="I9" t="s">
        <v>782</v>
      </c>
      <c r="J9" s="47"/>
      <c r="K9" s="50"/>
      <c r="L9" s="34"/>
      <c r="M9" s="50"/>
      <c r="N9" s="34"/>
      <c r="O9" s="50"/>
      <c r="P9" s="50"/>
      <c r="Q9" s="34"/>
      <c r="R9" s="16"/>
      <c r="T9" s="6"/>
    </row>
    <row r="10" spans="1:20" ht="18">
      <c r="A10" s="10">
        <v>35000</v>
      </c>
      <c r="B10" s="37">
        <v>663.5</v>
      </c>
      <c r="C10" s="36">
        <f t="shared" si="0"/>
        <v>576.5815</v>
      </c>
      <c r="E10" s="30">
        <f>B10*E1</f>
        <v>796.1999999999999</v>
      </c>
      <c r="F10" s="30">
        <f t="shared" si="1"/>
        <v>691.8978</v>
      </c>
      <c r="H10" s="46"/>
      <c r="J10" s="47"/>
      <c r="K10" s="50"/>
      <c r="L10" s="34"/>
      <c r="M10" s="50"/>
      <c r="N10" s="34"/>
      <c r="O10" s="50"/>
      <c r="P10" s="50"/>
      <c r="Q10" s="34"/>
      <c r="R10" s="16"/>
      <c r="T10" s="6"/>
    </row>
    <row r="11" spans="1:18" ht="18">
      <c r="A11" s="10">
        <v>40000</v>
      </c>
      <c r="B11" s="37">
        <v>660.1</v>
      </c>
      <c r="C11" s="36">
        <f t="shared" si="0"/>
        <v>573.6269</v>
      </c>
      <c r="E11" s="30">
        <f>B11*E1</f>
        <v>792.12</v>
      </c>
      <c r="F11" s="30">
        <f t="shared" si="1"/>
        <v>688.35228</v>
      </c>
      <c r="H11" s="46"/>
      <c r="I11" t="s">
        <v>776</v>
      </c>
      <c r="J11" s="47"/>
      <c r="K11" s="50"/>
      <c r="L11" s="34"/>
      <c r="M11" s="50"/>
      <c r="N11" s="34"/>
      <c r="O11" s="50"/>
      <c r="P11" s="50"/>
      <c r="Q11" s="34"/>
      <c r="R11" s="16"/>
    </row>
    <row r="12" spans="1:18" ht="18">
      <c r="A12" s="10">
        <v>50000</v>
      </c>
      <c r="B12" s="37">
        <v>660.1</v>
      </c>
      <c r="C12" s="36">
        <f t="shared" si="0"/>
        <v>573.6269</v>
      </c>
      <c r="E12" s="30">
        <f>B12*E1</f>
        <v>792.12</v>
      </c>
      <c r="F12" s="30">
        <f t="shared" si="1"/>
        <v>688.35228</v>
      </c>
      <c r="H12" s="46"/>
      <c r="I12" t="s">
        <v>779</v>
      </c>
      <c r="J12" s="47"/>
      <c r="K12" s="50"/>
      <c r="L12" s="34"/>
      <c r="M12" s="50"/>
      <c r="N12" s="34"/>
      <c r="O12" s="50"/>
      <c r="P12" s="50"/>
      <c r="Q12" s="34"/>
      <c r="R12" s="34"/>
    </row>
    <row r="13" spans="1:18" ht="18">
      <c r="A13" s="10">
        <v>60000</v>
      </c>
      <c r="B13" s="37">
        <v>660.1</v>
      </c>
      <c r="C13" s="36">
        <f t="shared" si="0"/>
        <v>573.6269</v>
      </c>
      <c r="E13" s="30">
        <f>B13*E1</f>
        <v>792.12</v>
      </c>
      <c r="F13" s="30">
        <f t="shared" si="1"/>
        <v>688.35228</v>
      </c>
      <c r="H13" s="46"/>
      <c r="I13" t="s">
        <v>777</v>
      </c>
      <c r="J13" s="47"/>
      <c r="K13" s="50"/>
      <c r="L13" s="34"/>
      <c r="M13" s="50"/>
      <c r="N13" s="34"/>
      <c r="O13" s="50"/>
      <c r="P13" s="50"/>
      <c r="Q13" s="34"/>
      <c r="R13" s="34"/>
    </row>
    <row r="14" spans="1:18" ht="18">
      <c r="A14" s="10">
        <v>70000</v>
      </c>
      <c r="B14" s="37">
        <v>662</v>
      </c>
      <c r="C14" s="36">
        <f t="shared" si="0"/>
        <v>575.278</v>
      </c>
      <c r="E14" s="30">
        <f>B14*E1</f>
        <v>794.4</v>
      </c>
      <c r="F14" s="30">
        <f t="shared" si="1"/>
        <v>690.3335999999999</v>
      </c>
      <c r="H14" s="46"/>
      <c r="I14" t="s">
        <v>778</v>
      </c>
      <c r="J14" s="47"/>
      <c r="K14" s="50"/>
      <c r="L14" s="34"/>
      <c r="M14" s="50"/>
      <c r="N14" s="34"/>
      <c r="O14" s="50"/>
      <c r="P14" s="50"/>
      <c r="Q14" s="34"/>
      <c r="R14" s="34"/>
    </row>
    <row r="15" spans="1:18" ht="18">
      <c r="A15" s="10">
        <v>80000</v>
      </c>
      <c r="B15" s="37">
        <v>667</v>
      </c>
      <c r="C15" s="36">
        <f t="shared" si="0"/>
        <v>579.623</v>
      </c>
      <c r="E15" s="30">
        <f>B15*E1</f>
        <v>800.4</v>
      </c>
      <c r="F15" s="30">
        <f t="shared" si="1"/>
        <v>695.5476</v>
      </c>
      <c r="H15" s="46"/>
      <c r="J15" s="34"/>
      <c r="K15" s="50"/>
      <c r="L15" s="34"/>
      <c r="M15" s="50"/>
      <c r="N15" s="34"/>
      <c r="O15" s="50"/>
      <c r="P15" s="50"/>
      <c r="Q15" s="34"/>
      <c r="R15" s="34"/>
    </row>
    <row r="16" spans="1:18" ht="18">
      <c r="A16" s="10">
        <v>90000</v>
      </c>
      <c r="B16" s="37">
        <v>671.1</v>
      </c>
      <c r="C16" s="36">
        <f t="shared" si="0"/>
        <v>583.1859000000001</v>
      </c>
      <c r="E16" s="30">
        <f>B16*E1</f>
        <v>805.32</v>
      </c>
      <c r="F16" s="30">
        <f t="shared" si="1"/>
        <v>699.82308</v>
      </c>
      <c r="H16" s="46"/>
      <c r="I16" t="s">
        <v>741</v>
      </c>
      <c r="J16" s="34"/>
      <c r="K16" s="50"/>
      <c r="L16" s="34"/>
      <c r="M16" s="50"/>
      <c r="N16" s="34"/>
      <c r="O16" s="50"/>
      <c r="P16" s="50"/>
      <c r="Q16" s="34"/>
      <c r="R16" s="34"/>
    </row>
    <row r="17" spans="1:18" ht="18">
      <c r="A17" s="10">
        <v>100000</v>
      </c>
      <c r="B17" s="37">
        <v>675.6</v>
      </c>
      <c r="C17" s="36">
        <f t="shared" si="0"/>
        <v>587.0964</v>
      </c>
      <c r="E17" s="30">
        <f>B17*E1</f>
        <v>810.72</v>
      </c>
      <c r="F17" s="30">
        <f t="shared" si="1"/>
        <v>704.51568</v>
      </c>
      <c r="H17" s="46"/>
      <c r="I17" t="s">
        <v>780</v>
      </c>
      <c r="K17" s="50"/>
      <c r="L17" s="34"/>
      <c r="M17" s="50"/>
      <c r="N17" s="34"/>
      <c r="O17" s="50"/>
      <c r="P17" s="50"/>
      <c r="Q17" s="34"/>
      <c r="R17" s="34"/>
    </row>
    <row r="18" spans="1:18" ht="18">
      <c r="A18" s="10">
        <v>110000</v>
      </c>
      <c r="B18" s="37">
        <v>683.7</v>
      </c>
      <c r="C18" s="36">
        <f t="shared" si="0"/>
        <v>594.1353</v>
      </c>
      <c r="E18" s="30">
        <f>B18*E1</f>
        <v>820.44</v>
      </c>
      <c r="F18" s="30">
        <f t="shared" si="1"/>
        <v>712.96236</v>
      </c>
      <c r="H18" s="34"/>
      <c r="K18" s="34"/>
      <c r="L18" s="34"/>
      <c r="M18" s="34"/>
      <c r="N18" s="34"/>
      <c r="O18" s="34"/>
      <c r="P18" s="34"/>
      <c r="Q18" s="34"/>
      <c r="R18" s="34"/>
    </row>
    <row r="19" spans="1:18" ht="18">
      <c r="A19" s="10">
        <v>120000</v>
      </c>
      <c r="B19" s="37">
        <v>696</v>
      </c>
      <c r="C19" s="36">
        <f t="shared" si="0"/>
        <v>604.824</v>
      </c>
      <c r="E19" s="30">
        <f>B19*E1</f>
        <v>835.1999999999999</v>
      </c>
      <c r="F19" s="30">
        <f t="shared" si="1"/>
        <v>725.7887999999999</v>
      </c>
      <c r="H19" s="34"/>
      <c r="I19" t="s">
        <v>552</v>
      </c>
      <c r="K19" s="34"/>
      <c r="L19" s="34"/>
      <c r="M19" s="34"/>
      <c r="N19" s="34"/>
      <c r="O19" s="34"/>
      <c r="P19" s="34"/>
      <c r="Q19" s="34"/>
      <c r="R19" s="34"/>
    </row>
    <row r="25" spans="1:9" ht="12.75">
      <c r="A25" t="s">
        <v>731</v>
      </c>
      <c r="I25" s="17"/>
    </row>
    <row r="28" spans="1:16" ht="18">
      <c r="A28" s="18" t="s">
        <v>752</v>
      </c>
      <c r="B28" s="27" t="s">
        <v>748</v>
      </c>
      <c r="C28" s="27" t="s">
        <v>739</v>
      </c>
      <c r="E28" s="27" t="s">
        <v>739</v>
      </c>
      <c r="F28" s="27" t="s">
        <v>744</v>
      </c>
      <c r="G28" s="27" t="s">
        <v>744</v>
      </c>
      <c r="H28" s="27" t="s">
        <v>750</v>
      </c>
      <c r="L28" s="11" t="s">
        <v>708</v>
      </c>
      <c r="M28" s="11" t="s">
        <v>709</v>
      </c>
      <c r="O28" s="11" t="s">
        <v>709</v>
      </c>
      <c r="P28" s="11" t="s">
        <v>708</v>
      </c>
    </row>
    <row r="29" spans="1:8" ht="18">
      <c r="A29" s="18" t="s">
        <v>746</v>
      </c>
      <c r="B29" s="27" t="s">
        <v>749</v>
      </c>
      <c r="C29" s="27" t="s">
        <v>740</v>
      </c>
      <c r="E29" s="27" t="s">
        <v>747</v>
      </c>
      <c r="F29" s="39" t="s">
        <v>745</v>
      </c>
      <c r="G29" s="27" t="s">
        <v>747</v>
      </c>
      <c r="H29" s="40" t="s">
        <v>751</v>
      </c>
    </row>
    <row r="30" spans="1:16" ht="18">
      <c r="A30" s="9" t="s">
        <v>705</v>
      </c>
      <c r="B30" s="41">
        <v>59</v>
      </c>
      <c r="C30">
        <v>23.77</v>
      </c>
      <c r="E30" s="42">
        <v>1</v>
      </c>
      <c r="F30" s="41">
        <v>29.92</v>
      </c>
      <c r="G30" s="43">
        <v>1</v>
      </c>
      <c r="H30" s="42">
        <v>1</v>
      </c>
      <c r="L30" s="12">
        <v>1342</v>
      </c>
      <c r="M30" s="2">
        <f>L30*1.151</f>
        <v>1544.642</v>
      </c>
      <c r="O30" s="12">
        <v>914</v>
      </c>
      <c r="P30" s="85">
        <f>O30/1.151</f>
        <v>794.0920938314509</v>
      </c>
    </row>
    <row r="31" spans="1:16" ht="18">
      <c r="A31" s="10">
        <v>5000</v>
      </c>
      <c r="B31" s="41">
        <v>41.169</v>
      </c>
      <c r="C31">
        <v>20.48</v>
      </c>
      <c r="E31">
        <v>0.8617</v>
      </c>
      <c r="F31" s="41">
        <v>24.9</v>
      </c>
      <c r="G31" s="43">
        <v>0.832</v>
      </c>
      <c r="H31" s="42">
        <v>0.9827</v>
      </c>
      <c r="L31" s="25" t="s">
        <v>726</v>
      </c>
      <c r="O31" s="25" t="s">
        <v>727</v>
      </c>
      <c r="P31" s="2"/>
    </row>
    <row r="32" spans="1:16" ht="18">
      <c r="A32" s="10">
        <v>10000</v>
      </c>
      <c r="B32" s="41">
        <v>23.338</v>
      </c>
      <c r="C32">
        <v>17.56</v>
      </c>
      <c r="E32">
        <v>0.7385</v>
      </c>
      <c r="F32" s="41">
        <v>20.58</v>
      </c>
      <c r="G32" s="43">
        <v>0.6877</v>
      </c>
      <c r="H32" s="42">
        <v>0.965</v>
      </c>
      <c r="P32" s="2"/>
    </row>
    <row r="33" spans="1:16" ht="18">
      <c r="A33" s="10">
        <v>15000</v>
      </c>
      <c r="B33" s="41">
        <v>5.508</v>
      </c>
      <c r="C33">
        <v>14.96</v>
      </c>
      <c r="E33">
        <v>0.6292</v>
      </c>
      <c r="F33" s="41">
        <v>16.89</v>
      </c>
      <c r="G33" s="43">
        <v>0.5643</v>
      </c>
      <c r="H33" s="42">
        <v>0.947</v>
      </c>
      <c r="L33" s="11" t="s">
        <v>708</v>
      </c>
      <c r="M33" s="11" t="s">
        <v>716</v>
      </c>
      <c r="O33" s="11" t="s">
        <v>716</v>
      </c>
      <c r="P33" s="11" t="s">
        <v>708</v>
      </c>
    </row>
    <row r="34" spans="1:16" ht="18">
      <c r="A34" s="10">
        <v>20000</v>
      </c>
      <c r="B34" s="41">
        <v>-12.323</v>
      </c>
      <c r="C34">
        <v>12.67</v>
      </c>
      <c r="E34">
        <v>0.5328</v>
      </c>
      <c r="F34" s="41">
        <v>13.75</v>
      </c>
      <c r="G34" s="43">
        <v>0.4595</v>
      </c>
      <c r="H34" s="42">
        <v>0.9287</v>
      </c>
      <c r="L34" s="12">
        <v>190</v>
      </c>
      <c r="M34" s="2">
        <f>L34*1.688</f>
        <v>320.71999999999997</v>
      </c>
      <c r="O34" s="12">
        <v>360</v>
      </c>
      <c r="P34" s="2">
        <f>O34/1.688</f>
        <v>213.27014218009478</v>
      </c>
    </row>
    <row r="35" spans="1:16" ht="18">
      <c r="A35" s="10">
        <v>25000</v>
      </c>
      <c r="B35" s="41">
        <v>-30.154</v>
      </c>
      <c r="C35">
        <v>10.66</v>
      </c>
      <c r="E35">
        <v>0.4481</v>
      </c>
      <c r="F35" s="41">
        <v>11.1</v>
      </c>
      <c r="G35" s="43">
        <v>0.3711</v>
      </c>
      <c r="H35" s="42">
        <v>0.91</v>
      </c>
      <c r="L35" s="25" t="s">
        <v>717</v>
      </c>
      <c r="M35" s="7"/>
      <c r="O35" s="25" t="s">
        <v>728</v>
      </c>
      <c r="P35" s="2"/>
    </row>
    <row r="36" spans="1:16" ht="18">
      <c r="A36" s="10">
        <v>30000</v>
      </c>
      <c r="B36" s="41">
        <v>-47.985</v>
      </c>
      <c r="C36">
        <v>8.91</v>
      </c>
      <c r="E36">
        <v>0.3741</v>
      </c>
      <c r="F36" s="41">
        <v>8.885</v>
      </c>
      <c r="G36" s="43">
        <v>0.297</v>
      </c>
      <c r="H36" s="42">
        <v>0.8909</v>
      </c>
      <c r="L36" s="7"/>
      <c r="M36" s="7"/>
      <c r="P36" s="2"/>
    </row>
    <row r="37" spans="1:16" ht="18">
      <c r="A37" s="10">
        <v>35000</v>
      </c>
      <c r="B37" s="41">
        <v>-65.816</v>
      </c>
      <c r="C37">
        <v>7.38</v>
      </c>
      <c r="E37">
        <v>0.3099</v>
      </c>
      <c r="F37" s="41">
        <v>7.041</v>
      </c>
      <c r="G37" s="43">
        <v>0.2353</v>
      </c>
      <c r="H37" s="42">
        <v>0.8714</v>
      </c>
      <c r="L37" s="11" t="s">
        <v>709</v>
      </c>
      <c r="M37" s="11" t="s">
        <v>716</v>
      </c>
      <c r="O37" s="11" t="s">
        <v>716</v>
      </c>
      <c r="P37" s="11" t="s">
        <v>709</v>
      </c>
    </row>
    <row r="38" spans="1:16" ht="18">
      <c r="A38" s="10">
        <v>40000</v>
      </c>
      <c r="B38" s="41">
        <v>-69.7</v>
      </c>
      <c r="C38">
        <v>5.87</v>
      </c>
      <c r="E38">
        <v>0.2462</v>
      </c>
      <c r="F38" s="41">
        <v>5.538</v>
      </c>
      <c r="G38" s="43">
        <v>0.1851</v>
      </c>
      <c r="H38" s="42">
        <v>0.8671</v>
      </c>
      <c r="L38" s="5">
        <v>485</v>
      </c>
      <c r="M38" s="2">
        <f>L38*1.467</f>
        <v>711.495</v>
      </c>
      <c r="O38" s="12">
        <v>800</v>
      </c>
      <c r="P38" s="2">
        <f>O38/1.467</f>
        <v>545.3306066802999</v>
      </c>
    </row>
    <row r="39" spans="1:16" ht="18">
      <c r="A39" s="10">
        <v>50000</v>
      </c>
      <c r="B39" s="41">
        <v>-69.7</v>
      </c>
      <c r="C39">
        <v>3.64</v>
      </c>
      <c r="E39">
        <v>0.1522</v>
      </c>
      <c r="F39" s="41">
        <v>3.425</v>
      </c>
      <c r="G39" s="43">
        <v>0.1145</v>
      </c>
      <c r="H39" s="42">
        <v>0.8671</v>
      </c>
      <c r="L39" s="25" t="s">
        <v>718</v>
      </c>
      <c r="O39" s="25" t="s">
        <v>729</v>
      </c>
      <c r="P39" s="2"/>
    </row>
    <row r="40" spans="1:16" ht="18">
      <c r="A40" s="10">
        <v>60000</v>
      </c>
      <c r="B40" s="41">
        <v>-69.7</v>
      </c>
      <c r="C40">
        <v>2.26</v>
      </c>
      <c r="E40">
        <v>0.09414</v>
      </c>
      <c r="F40" s="41">
        <v>2.118</v>
      </c>
      <c r="G40" s="43">
        <v>0.07078</v>
      </c>
      <c r="H40" s="42">
        <v>0.8671</v>
      </c>
      <c r="P40" s="8"/>
    </row>
    <row r="41" spans="1:6" ht="18">
      <c r="A41" s="10">
        <v>70000</v>
      </c>
      <c r="C41">
        <v>1.39</v>
      </c>
      <c r="F41" s="41">
        <v>1.33</v>
      </c>
    </row>
    <row r="42" spans="1:12" ht="18">
      <c r="A42" s="10">
        <v>80000</v>
      </c>
      <c r="C42">
        <v>0.86</v>
      </c>
      <c r="F42" s="41">
        <v>0.827</v>
      </c>
      <c r="L42" s="108" t="s">
        <v>507</v>
      </c>
    </row>
    <row r="43" spans="1:16" ht="18">
      <c r="A43" s="10">
        <v>90000</v>
      </c>
      <c r="C43">
        <v>0.56</v>
      </c>
      <c r="F43" s="41">
        <v>0.52</v>
      </c>
      <c r="L43" s="107" t="s">
        <v>508</v>
      </c>
      <c r="M43" s="107" t="s">
        <v>510</v>
      </c>
      <c r="O43" s="107" t="s">
        <v>510</v>
      </c>
      <c r="P43" s="107" t="s">
        <v>508</v>
      </c>
    </row>
    <row r="44" spans="1:16" ht="18">
      <c r="A44" s="10">
        <v>100000</v>
      </c>
      <c r="C44">
        <v>0.33</v>
      </c>
      <c r="F44" s="41">
        <v>0.329</v>
      </c>
      <c r="L44" s="12">
        <v>115.6</v>
      </c>
      <c r="M44">
        <f>L44*224.80894</f>
        <v>25987.913464</v>
      </c>
      <c r="O44" s="12"/>
      <c r="P44">
        <f>O44*0.004448</f>
        <v>0</v>
      </c>
    </row>
    <row r="45" spans="1:15" ht="18">
      <c r="A45" s="10">
        <v>110000</v>
      </c>
      <c r="L45" t="s">
        <v>516</v>
      </c>
      <c r="O45" t="s">
        <v>509</v>
      </c>
    </row>
    <row r="46" ht="18">
      <c r="A46" s="10">
        <v>120000</v>
      </c>
    </row>
    <row r="47" ht="18">
      <c r="A47" s="9"/>
    </row>
    <row r="48" spans="1:12" ht="18">
      <c r="A48" s="9"/>
      <c r="L48" s="109" t="s">
        <v>517</v>
      </c>
    </row>
    <row r="49" spans="1:16" ht="18">
      <c r="A49" s="9"/>
      <c r="L49" s="107" t="s">
        <v>518</v>
      </c>
      <c r="M49" s="107" t="s">
        <v>519</v>
      </c>
      <c r="N49" s="107"/>
      <c r="O49" s="107" t="s">
        <v>519</v>
      </c>
      <c r="P49" s="107" t="s">
        <v>518</v>
      </c>
    </row>
    <row r="50" spans="1:16" ht="18">
      <c r="A50" s="9"/>
      <c r="L50" s="12">
        <v>1320</v>
      </c>
      <c r="M50">
        <f>L50*0.264172</f>
        <v>348.70704</v>
      </c>
      <c r="O50" s="12"/>
      <c r="P50">
        <f>O50*3.78541</f>
        <v>0</v>
      </c>
    </row>
    <row r="51" spans="1:15" ht="18">
      <c r="A51" s="9"/>
      <c r="L51" t="s">
        <v>520</v>
      </c>
      <c r="O51" t="s">
        <v>521</v>
      </c>
    </row>
    <row r="52" ht="18">
      <c r="A52" s="9"/>
    </row>
    <row r="53" ht="18">
      <c r="A53" s="9"/>
    </row>
    <row r="54" spans="1:12" ht="18">
      <c r="A54" s="9"/>
      <c r="L54" s="109" t="s">
        <v>70</v>
      </c>
    </row>
    <row r="55" spans="1:16" ht="18">
      <c r="A55" s="9"/>
      <c r="L55" s="107" t="s">
        <v>522</v>
      </c>
      <c r="M55" s="107" t="s">
        <v>523</v>
      </c>
      <c r="N55" s="107"/>
      <c r="O55" s="107" t="s">
        <v>523</v>
      </c>
      <c r="P55" s="107" t="s">
        <v>522</v>
      </c>
    </row>
    <row r="56" spans="1:16" ht="18">
      <c r="A56" s="9"/>
      <c r="L56" s="12">
        <v>80</v>
      </c>
      <c r="M56">
        <f>L56*2.205</f>
        <v>176.4</v>
      </c>
      <c r="O56" s="12"/>
      <c r="P56">
        <f>O56*0.454</f>
        <v>0</v>
      </c>
    </row>
    <row r="57" spans="1:15" ht="18">
      <c r="A57" s="9"/>
      <c r="L57" t="s">
        <v>524</v>
      </c>
      <c r="O57" t="s">
        <v>525</v>
      </c>
    </row>
    <row r="58" ht="18">
      <c r="A58" s="9"/>
    </row>
    <row r="59" ht="18">
      <c r="A59" s="9"/>
    </row>
    <row r="60" ht="18">
      <c r="A60" s="9"/>
    </row>
    <row r="61" ht="18">
      <c r="A61" s="9"/>
    </row>
    <row r="62" ht="18">
      <c r="A62" s="9"/>
    </row>
    <row r="63" ht="18">
      <c r="A63" s="9"/>
    </row>
    <row r="64" ht="18">
      <c r="A64" s="9"/>
    </row>
    <row r="65" ht="18">
      <c r="A65" s="9"/>
    </row>
    <row r="66" ht="18">
      <c r="A66" s="9"/>
    </row>
    <row r="67" ht="18">
      <c r="A67" s="9"/>
    </row>
    <row r="68" ht="18">
      <c r="A68" s="9"/>
    </row>
    <row r="69" ht="18">
      <c r="A69" s="9"/>
    </row>
    <row r="70" ht="18">
      <c r="A70" s="9"/>
    </row>
    <row r="71" ht="18">
      <c r="A71" s="9"/>
    </row>
    <row r="72" ht="18">
      <c r="A72" s="9"/>
    </row>
    <row r="73" ht="18">
      <c r="A73" s="9"/>
    </row>
    <row r="74" ht="18">
      <c r="A74" s="9"/>
    </row>
    <row r="75" ht="18">
      <c r="A75" s="9"/>
    </row>
    <row r="76" ht="18">
      <c r="A76" s="9"/>
    </row>
    <row r="77" ht="18">
      <c r="A77" s="9"/>
    </row>
    <row r="78" ht="18">
      <c r="A78" s="9"/>
    </row>
    <row r="79" ht="18">
      <c r="A79" s="9"/>
    </row>
    <row r="80" ht="18">
      <c r="A80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9"/>
  <sheetViews>
    <sheetView workbookViewId="0" topLeftCell="I37">
      <selection activeCell="N34" sqref="N34"/>
    </sheetView>
  </sheetViews>
  <sheetFormatPr defaultColWidth="9.140625" defaultRowHeight="12.75"/>
  <cols>
    <col min="1" max="10" width="11.00390625" style="0" customWidth="1"/>
    <col min="11" max="11" width="11.8515625" style="0" customWidth="1"/>
    <col min="12" max="12" width="11.421875" style="0" customWidth="1"/>
    <col min="13" max="13" width="11.00390625" style="0" customWidth="1"/>
    <col min="14" max="14" width="12.57421875" style="0" customWidth="1"/>
    <col min="15" max="16" width="11.00390625" style="0" customWidth="1"/>
    <col min="17" max="17" width="11.7109375" style="0" customWidth="1"/>
    <col min="18" max="24" width="11.00390625" style="0" customWidth="1"/>
    <col min="25" max="25" width="2.421875" style="0" customWidth="1"/>
    <col min="26" max="37" width="11.00390625" style="0" customWidth="1"/>
    <col min="38" max="38" width="2.57421875" style="0" customWidth="1"/>
    <col min="39" max="16384" width="11.00390625" style="0" customWidth="1"/>
  </cols>
  <sheetData>
    <row r="1" spans="1:41" ht="12.75">
      <c r="A1" s="1" t="s">
        <v>699</v>
      </c>
      <c r="B1" t="s">
        <v>743</v>
      </c>
      <c r="C1" s="8" t="s">
        <v>719</v>
      </c>
      <c r="D1" s="3" t="s">
        <v>700</v>
      </c>
      <c r="E1" t="s">
        <v>743</v>
      </c>
      <c r="F1" s="8" t="s">
        <v>719</v>
      </c>
      <c r="G1" s="3" t="s">
        <v>701</v>
      </c>
      <c r="H1" t="s">
        <v>743</v>
      </c>
      <c r="I1" s="8" t="s">
        <v>719</v>
      </c>
      <c r="J1" s="3" t="s">
        <v>702</v>
      </c>
      <c r="K1" t="s">
        <v>743</v>
      </c>
      <c r="L1" s="8" t="s">
        <v>719</v>
      </c>
      <c r="M1" s="3" t="s">
        <v>706</v>
      </c>
      <c r="N1" t="s">
        <v>743</v>
      </c>
      <c r="O1" s="8" t="s">
        <v>719</v>
      </c>
      <c r="P1" s="3" t="s">
        <v>707</v>
      </c>
      <c r="Q1" t="s">
        <v>743</v>
      </c>
      <c r="R1" s="8" t="s">
        <v>719</v>
      </c>
      <c r="S1" s="3" t="s">
        <v>710</v>
      </c>
      <c r="T1" t="s">
        <v>743</v>
      </c>
      <c r="U1" s="8" t="s">
        <v>719</v>
      </c>
      <c r="V1" s="3" t="s">
        <v>725</v>
      </c>
      <c r="W1" t="s">
        <v>743</v>
      </c>
      <c r="X1" s="8" t="s">
        <v>719</v>
      </c>
      <c r="Z1" s="3" t="s">
        <v>714</v>
      </c>
      <c r="AA1" t="s">
        <v>743</v>
      </c>
      <c r="AB1" s="8" t="s">
        <v>719</v>
      </c>
      <c r="AC1" s="15" t="s">
        <v>711</v>
      </c>
      <c r="AD1" t="s">
        <v>743</v>
      </c>
      <c r="AE1" s="8" t="s">
        <v>719</v>
      </c>
      <c r="AF1" s="15" t="s">
        <v>712</v>
      </c>
      <c r="AG1" t="s">
        <v>743</v>
      </c>
      <c r="AH1" s="8" t="s">
        <v>719</v>
      </c>
      <c r="AI1" s="15" t="s">
        <v>713</v>
      </c>
      <c r="AJ1" t="s">
        <v>743</v>
      </c>
      <c r="AK1" s="8" t="s">
        <v>719</v>
      </c>
      <c r="AM1" s="1" t="s">
        <v>721</v>
      </c>
      <c r="AN1" t="s">
        <v>743</v>
      </c>
      <c r="AO1" s="8" t="s">
        <v>719</v>
      </c>
    </row>
    <row r="2" spans="1:41" ht="12.75">
      <c r="A2" s="86" t="s">
        <v>4</v>
      </c>
      <c r="C2" s="8"/>
      <c r="D2" s="4"/>
      <c r="F2" s="8"/>
      <c r="G2" s="4"/>
      <c r="I2" s="8"/>
      <c r="J2" s="4"/>
      <c r="L2" s="8"/>
      <c r="M2" s="4"/>
      <c r="O2" s="8"/>
      <c r="P2" s="4"/>
      <c r="R2" s="8"/>
      <c r="S2" s="4"/>
      <c r="U2" s="8"/>
      <c r="V2" s="4"/>
      <c r="X2" s="8"/>
      <c r="AE2" s="8"/>
      <c r="AF2" s="4"/>
      <c r="AH2" s="8"/>
      <c r="AI2" s="4"/>
      <c r="AK2" s="8"/>
      <c r="AM2" s="24" t="s">
        <v>722</v>
      </c>
      <c r="AO2" s="8"/>
    </row>
    <row r="3" spans="1:41" ht="12.75">
      <c r="A3" s="8">
        <v>0</v>
      </c>
      <c r="B3" s="8"/>
      <c r="C3" s="7">
        <f aca="true" t="shared" si="0" ref="C3:C15">B3*1.688</f>
        <v>0</v>
      </c>
      <c r="D3" s="8">
        <v>0</v>
      </c>
      <c r="E3" s="8"/>
      <c r="F3" s="7">
        <f>E3*1.688</f>
        <v>0</v>
      </c>
      <c r="G3" s="8">
        <v>0</v>
      </c>
      <c r="H3" s="7"/>
      <c r="I3" s="7">
        <f aca="true" t="shared" si="1" ref="I3:I14">H3*1.688</f>
        <v>0</v>
      </c>
      <c r="J3" s="8">
        <v>0</v>
      </c>
      <c r="K3" s="7"/>
      <c r="L3" s="7">
        <f aca="true" t="shared" si="2" ref="L3:L14">K3*1.688</f>
        <v>0</v>
      </c>
      <c r="M3" s="8">
        <v>0</v>
      </c>
      <c r="N3" s="7"/>
      <c r="O3" s="7">
        <f aca="true" t="shared" si="3" ref="O3:O13">N3*1.688</f>
        <v>0</v>
      </c>
      <c r="P3" s="8">
        <v>0</v>
      </c>
      <c r="Q3" s="7"/>
      <c r="R3" s="7">
        <f>Q3*1.688</f>
        <v>0</v>
      </c>
      <c r="S3" s="8">
        <v>0</v>
      </c>
      <c r="T3" s="7"/>
      <c r="U3" s="7">
        <f aca="true" t="shared" si="4" ref="U3:U11">T3*1.688</f>
        <v>0</v>
      </c>
      <c r="V3" s="8">
        <v>0</v>
      </c>
      <c r="W3" s="7"/>
      <c r="X3" s="7">
        <f aca="true" t="shared" si="5" ref="X3:X10">W3*1.688</f>
        <v>0</v>
      </c>
      <c r="Y3" s="8"/>
      <c r="Z3" s="8">
        <v>0</v>
      </c>
      <c r="AA3" s="8">
        <f aca="true" t="shared" si="6" ref="AA3:AA8">B3-8</f>
        <v>-8</v>
      </c>
      <c r="AB3" s="7">
        <f aca="true" t="shared" si="7" ref="AB3:AB15">AA3*1.688</f>
        <v>-13.504</v>
      </c>
      <c r="AC3" s="8">
        <v>0</v>
      </c>
      <c r="AD3" s="7"/>
      <c r="AE3" s="7">
        <f>AD3*1.688</f>
        <v>0</v>
      </c>
      <c r="AF3" s="8">
        <v>0</v>
      </c>
      <c r="AG3" s="7"/>
      <c r="AH3" s="7">
        <f>AG3*1.688</f>
        <v>0</v>
      </c>
      <c r="AI3" s="8">
        <v>0</v>
      </c>
      <c r="AJ3" s="7"/>
      <c r="AK3" s="7">
        <f>AJ3*1.688</f>
        <v>0</v>
      </c>
      <c r="AM3" s="8">
        <v>0</v>
      </c>
      <c r="AN3" s="8"/>
      <c r="AO3" s="7">
        <f aca="true" t="shared" si="8" ref="AO3:AO15">AN3*1.688</f>
        <v>0</v>
      </c>
    </row>
    <row r="4" spans="1:41" ht="12.75">
      <c r="A4" s="6">
        <v>3000</v>
      </c>
      <c r="B4" s="38"/>
      <c r="C4" s="7">
        <f t="shared" si="0"/>
        <v>0</v>
      </c>
      <c r="D4" s="6">
        <v>3000</v>
      </c>
      <c r="E4" s="33"/>
      <c r="F4" s="7">
        <f>E4*1.688</f>
        <v>0</v>
      </c>
      <c r="G4" s="6">
        <v>3000</v>
      </c>
      <c r="H4" s="38"/>
      <c r="I4" s="7">
        <f t="shared" si="1"/>
        <v>0</v>
      </c>
      <c r="J4" s="6">
        <v>3000</v>
      </c>
      <c r="K4" s="51"/>
      <c r="L4" s="7">
        <f t="shared" si="2"/>
        <v>0</v>
      </c>
      <c r="M4" s="6">
        <v>3000</v>
      </c>
      <c r="N4" s="51"/>
      <c r="O4" s="7">
        <f t="shared" si="3"/>
        <v>0</v>
      </c>
      <c r="P4" s="6">
        <v>3000</v>
      </c>
      <c r="Q4" s="51"/>
      <c r="R4" s="7">
        <f aca="true" t="shared" si="9" ref="R4:R12">Q4*1.688</f>
        <v>0</v>
      </c>
      <c r="S4" s="6">
        <v>3000</v>
      </c>
      <c r="T4" s="51"/>
      <c r="U4" s="7">
        <f t="shared" si="4"/>
        <v>0</v>
      </c>
      <c r="V4" s="6">
        <v>3000</v>
      </c>
      <c r="W4" s="51"/>
      <c r="X4" s="7">
        <f t="shared" si="5"/>
        <v>0</v>
      </c>
      <c r="Y4" s="6"/>
      <c r="Z4" s="6">
        <v>3000</v>
      </c>
      <c r="AA4" s="8">
        <f t="shared" si="6"/>
        <v>-8</v>
      </c>
      <c r="AB4" s="7">
        <f t="shared" si="7"/>
        <v>-13.504</v>
      </c>
      <c r="AC4" s="6">
        <v>3000</v>
      </c>
      <c r="AD4" s="51"/>
      <c r="AE4" s="7">
        <f aca="true" t="shared" si="10" ref="AE4:AE15">AD4*1.688</f>
        <v>0</v>
      </c>
      <c r="AF4" s="6">
        <v>3000</v>
      </c>
      <c r="AG4" s="51"/>
      <c r="AH4" s="7">
        <f aca="true" t="shared" si="11" ref="AH4:AH9">AG4*1.688</f>
        <v>0</v>
      </c>
      <c r="AI4" s="6">
        <v>3000</v>
      </c>
      <c r="AJ4" s="51"/>
      <c r="AK4" s="7">
        <f aca="true" t="shared" si="12" ref="AK4:AK10">AJ4*1.688</f>
        <v>0</v>
      </c>
      <c r="AM4" s="6">
        <v>3000</v>
      </c>
      <c r="AN4" s="38"/>
      <c r="AO4" s="7">
        <f t="shared" si="8"/>
        <v>0</v>
      </c>
    </row>
    <row r="5" spans="1:41" ht="12.75">
      <c r="A5" s="6">
        <v>12500</v>
      </c>
      <c r="B5" s="8"/>
      <c r="C5" s="7">
        <f t="shared" si="0"/>
        <v>0</v>
      </c>
      <c r="D5" s="6">
        <v>12500</v>
      </c>
      <c r="E5" s="7"/>
      <c r="F5" s="7">
        <f aca="true" t="shared" si="13" ref="F5:F15">E5*1.688</f>
        <v>0</v>
      </c>
      <c r="G5" s="6">
        <v>12500</v>
      </c>
      <c r="H5" s="7"/>
      <c r="I5" s="7">
        <f t="shared" si="1"/>
        <v>0</v>
      </c>
      <c r="J5" s="6">
        <v>12500</v>
      </c>
      <c r="K5" s="8"/>
      <c r="L5" s="7">
        <f t="shared" si="2"/>
        <v>0</v>
      </c>
      <c r="M5" s="6">
        <v>12500</v>
      </c>
      <c r="N5" s="8"/>
      <c r="O5" s="7">
        <f t="shared" si="3"/>
        <v>0</v>
      </c>
      <c r="P5" s="6">
        <v>12500</v>
      </c>
      <c r="Q5" s="8"/>
      <c r="R5" s="7">
        <f t="shared" si="9"/>
        <v>0</v>
      </c>
      <c r="S5" s="6">
        <v>12500</v>
      </c>
      <c r="T5" s="8"/>
      <c r="U5" s="7">
        <f t="shared" si="4"/>
        <v>0</v>
      </c>
      <c r="V5" s="6">
        <v>12500</v>
      </c>
      <c r="W5" s="7"/>
      <c r="X5" s="7">
        <f t="shared" si="5"/>
        <v>0</v>
      </c>
      <c r="Y5" s="6"/>
      <c r="Z5" s="6">
        <v>12500</v>
      </c>
      <c r="AA5" s="8">
        <f t="shared" si="6"/>
        <v>-8</v>
      </c>
      <c r="AB5" s="7">
        <f t="shared" si="7"/>
        <v>-13.504</v>
      </c>
      <c r="AC5" s="6">
        <v>12500</v>
      </c>
      <c r="AD5" s="8"/>
      <c r="AE5" s="7">
        <f t="shared" si="10"/>
        <v>0</v>
      </c>
      <c r="AF5" s="6">
        <v>12500</v>
      </c>
      <c r="AG5" s="8"/>
      <c r="AH5" s="7">
        <f t="shared" si="11"/>
        <v>0</v>
      </c>
      <c r="AI5" s="6">
        <v>12500</v>
      </c>
      <c r="AJ5" s="7"/>
      <c r="AK5" s="7">
        <f t="shared" si="12"/>
        <v>0</v>
      </c>
      <c r="AM5" s="6">
        <v>12500</v>
      </c>
      <c r="AN5" s="8"/>
      <c r="AO5" s="7">
        <f t="shared" si="8"/>
        <v>0</v>
      </c>
    </row>
    <row r="6" spans="1:41" ht="12.75">
      <c r="A6" s="6">
        <v>25000</v>
      </c>
      <c r="B6" s="38"/>
      <c r="C6" s="7">
        <f t="shared" si="0"/>
        <v>0</v>
      </c>
      <c r="D6" s="6">
        <v>25000</v>
      </c>
      <c r="E6" s="38"/>
      <c r="F6" s="7">
        <f t="shared" si="13"/>
        <v>0</v>
      </c>
      <c r="G6" s="6">
        <v>25000</v>
      </c>
      <c r="H6" s="38"/>
      <c r="I6" s="7">
        <f t="shared" si="1"/>
        <v>0</v>
      </c>
      <c r="J6" s="6">
        <v>25000</v>
      </c>
      <c r="K6" s="51"/>
      <c r="L6" s="7">
        <f t="shared" si="2"/>
        <v>0</v>
      </c>
      <c r="M6" s="6">
        <v>25000</v>
      </c>
      <c r="N6" s="51"/>
      <c r="O6" s="7">
        <f t="shared" si="3"/>
        <v>0</v>
      </c>
      <c r="P6" s="6">
        <v>25000</v>
      </c>
      <c r="Q6" s="51"/>
      <c r="R6" s="7">
        <f t="shared" si="9"/>
        <v>0</v>
      </c>
      <c r="S6" s="6">
        <v>25000</v>
      </c>
      <c r="T6" s="51"/>
      <c r="U6" s="7">
        <f t="shared" si="4"/>
        <v>0</v>
      </c>
      <c r="V6" s="6">
        <v>25000</v>
      </c>
      <c r="W6" s="51"/>
      <c r="X6" s="7">
        <f t="shared" si="5"/>
        <v>0</v>
      </c>
      <c r="Y6" s="6"/>
      <c r="Z6" s="6">
        <v>25000</v>
      </c>
      <c r="AA6" s="8">
        <f t="shared" si="6"/>
        <v>-8</v>
      </c>
      <c r="AB6" s="7">
        <f t="shared" si="7"/>
        <v>-13.504</v>
      </c>
      <c r="AC6" s="6">
        <v>25000</v>
      </c>
      <c r="AD6" s="51"/>
      <c r="AE6" s="7">
        <f t="shared" si="10"/>
        <v>0</v>
      </c>
      <c r="AF6" s="6">
        <v>25000</v>
      </c>
      <c r="AG6" s="51"/>
      <c r="AH6" s="7">
        <f t="shared" si="11"/>
        <v>0</v>
      </c>
      <c r="AI6" s="6">
        <v>25000</v>
      </c>
      <c r="AJ6" s="51"/>
      <c r="AK6" s="7">
        <f t="shared" si="12"/>
        <v>0</v>
      </c>
      <c r="AM6" s="6">
        <v>25000</v>
      </c>
      <c r="AN6" s="38"/>
      <c r="AO6" s="7">
        <f t="shared" si="8"/>
        <v>0</v>
      </c>
    </row>
    <row r="7" spans="1:41" ht="12.75">
      <c r="A7" s="6">
        <v>35000</v>
      </c>
      <c r="B7" s="7"/>
      <c r="C7" s="7">
        <f t="shared" si="0"/>
        <v>0</v>
      </c>
      <c r="D7" s="6">
        <v>35000</v>
      </c>
      <c r="E7" s="7"/>
      <c r="F7" s="7">
        <f t="shared" si="13"/>
        <v>0</v>
      </c>
      <c r="G7" s="6">
        <v>35000</v>
      </c>
      <c r="H7" s="7"/>
      <c r="I7" s="7">
        <f t="shared" si="1"/>
        <v>0</v>
      </c>
      <c r="J7" s="6">
        <v>35000</v>
      </c>
      <c r="K7" s="7"/>
      <c r="L7" s="7">
        <f t="shared" si="2"/>
        <v>0</v>
      </c>
      <c r="M7" s="6">
        <v>35000</v>
      </c>
      <c r="N7" s="7"/>
      <c r="O7" s="7">
        <f t="shared" si="3"/>
        <v>0</v>
      </c>
      <c r="P7" s="6">
        <v>35000</v>
      </c>
      <c r="Q7" s="7"/>
      <c r="R7" s="7">
        <f t="shared" si="9"/>
        <v>0</v>
      </c>
      <c r="S7" s="21">
        <v>28000</v>
      </c>
      <c r="T7" s="7"/>
      <c r="U7" s="7">
        <f t="shared" si="4"/>
        <v>0</v>
      </c>
      <c r="V7" s="13">
        <v>25000</v>
      </c>
      <c r="W7" s="38"/>
      <c r="X7" s="7">
        <f t="shared" si="5"/>
        <v>0</v>
      </c>
      <c r="Y7" s="6"/>
      <c r="Z7" s="6">
        <v>35000</v>
      </c>
      <c r="AA7" s="7">
        <f t="shared" si="6"/>
        <v>-8</v>
      </c>
      <c r="AB7" s="7">
        <f t="shared" si="7"/>
        <v>-13.504</v>
      </c>
      <c r="AC7" s="6">
        <v>35000</v>
      </c>
      <c r="AD7" s="7"/>
      <c r="AE7" s="7">
        <f t="shared" si="10"/>
        <v>0</v>
      </c>
      <c r="AF7" s="6">
        <v>35000</v>
      </c>
      <c r="AG7" s="7"/>
      <c r="AH7" s="7">
        <f t="shared" si="11"/>
        <v>0</v>
      </c>
      <c r="AI7" s="13">
        <v>25000</v>
      </c>
      <c r="AJ7" s="51"/>
      <c r="AK7" s="7">
        <f t="shared" si="12"/>
        <v>0</v>
      </c>
      <c r="AM7" s="6">
        <v>35000</v>
      </c>
      <c r="AN7" s="7"/>
      <c r="AO7" s="7">
        <f t="shared" si="8"/>
        <v>0</v>
      </c>
    </row>
    <row r="8" spans="1:41" ht="12.75">
      <c r="A8" s="6">
        <v>45000</v>
      </c>
      <c r="B8" s="38"/>
      <c r="C8" s="7">
        <f t="shared" si="0"/>
        <v>0</v>
      </c>
      <c r="D8" s="6">
        <v>45000</v>
      </c>
      <c r="E8" s="38"/>
      <c r="F8" s="7">
        <f t="shared" si="13"/>
        <v>0</v>
      </c>
      <c r="G8" s="6">
        <v>45000</v>
      </c>
      <c r="H8" s="38"/>
      <c r="I8" s="7">
        <f t="shared" si="1"/>
        <v>0</v>
      </c>
      <c r="J8" s="6">
        <v>45000</v>
      </c>
      <c r="K8" s="51"/>
      <c r="L8" s="7">
        <f t="shared" si="2"/>
        <v>0</v>
      </c>
      <c r="M8" s="6">
        <v>42500</v>
      </c>
      <c r="N8" s="51"/>
      <c r="O8" s="7">
        <f t="shared" si="3"/>
        <v>0</v>
      </c>
      <c r="P8" s="13">
        <v>35000</v>
      </c>
      <c r="Q8" s="56"/>
      <c r="R8" s="7">
        <f t="shared" si="9"/>
        <v>0</v>
      </c>
      <c r="S8" s="13">
        <v>25000</v>
      </c>
      <c r="T8" s="38"/>
      <c r="U8" s="7">
        <f t="shared" si="4"/>
        <v>0</v>
      </c>
      <c r="V8" s="13">
        <v>12500</v>
      </c>
      <c r="W8" s="7"/>
      <c r="X8" s="7">
        <f t="shared" si="5"/>
        <v>0</v>
      </c>
      <c r="Y8" s="8"/>
      <c r="Z8" s="6">
        <v>45000</v>
      </c>
      <c r="AA8" s="8">
        <f t="shared" si="6"/>
        <v>-8</v>
      </c>
      <c r="AB8" s="7">
        <f t="shared" si="7"/>
        <v>-13.504</v>
      </c>
      <c r="AC8" s="6">
        <v>45000</v>
      </c>
      <c r="AD8" s="51"/>
      <c r="AE8" s="7">
        <f t="shared" si="10"/>
        <v>0</v>
      </c>
      <c r="AF8" s="6">
        <v>45000</v>
      </c>
      <c r="AG8" s="33"/>
      <c r="AH8" s="7">
        <f t="shared" si="11"/>
        <v>0</v>
      </c>
      <c r="AI8" s="13">
        <v>12500</v>
      </c>
      <c r="AJ8" s="7"/>
      <c r="AK8" s="7">
        <f t="shared" si="12"/>
        <v>0</v>
      </c>
      <c r="AM8" s="6">
        <v>45000</v>
      </c>
      <c r="AN8" s="38"/>
      <c r="AO8" s="7">
        <f t="shared" si="8"/>
        <v>0</v>
      </c>
    </row>
    <row r="9" spans="1:41" ht="12.75">
      <c r="A9" s="21">
        <v>50000</v>
      </c>
      <c r="B9" s="7"/>
      <c r="C9" s="7">
        <f t="shared" si="0"/>
        <v>0</v>
      </c>
      <c r="D9" s="21">
        <v>47500</v>
      </c>
      <c r="E9" s="7"/>
      <c r="F9" s="7">
        <f t="shared" si="13"/>
        <v>0</v>
      </c>
      <c r="G9" s="13">
        <v>45000</v>
      </c>
      <c r="H9" s="38"/>
      <c r="I9" s="7">
        <f t="shared" si="1"/>
        <v>0</v>
      </c>
      <c r="J9" s="13">
        <v>45000</v>
      </c>
      <c r="K9" s="51"/>
      <c r="L9" s="7">
        <f t="shared" si="2"/>
        <v>0</v>
      </c>
      <c r="M9" s="13">
        <v>35000</v>
      </c>
      <c r="N9" s="53"/>
      <c r="O9" s="7">
        <f t="shared" si="3"/>
        <v>0</v>
      </c>
      <c r="P9" s="13">
        <v>25000</v>
      </c>
      <c r="Q9" s="38"/>
      <c r="R9" s="7">
        <f t="shared" si="9"/>
        <v>0</v>
      </c>
      <c r="S9" s="13">
        <v>12500</v>
      </c>
      <c r="T9" s="7"/>
      <c r="U9" s="7">
        <f t="shared" si="4"/>
        <v>0</v>
      </c>
      <c r="V9" s="6">
        <v>3000</v>
      </c>
      <c r="W9" s="38"/>
      <c r="X9" s="7">
        <f t="shared" si="5"/>
        <v>0</v>
      </c>
      <c r="Z9" s="21">
        <v>51000</v>
      </c>
      <c r="AA9" s="8">
        <f>B9</f>
        <v>0</v>
      </c>
      <c r="AB9" s="7">
        <f t="shared" si="7"/>
        <v>0</v>
      </c>
      <c r="AC9" s="21">
        <v>50000</v>
      </c>
      <c r="AD9" s="8"/>
      <c r="AE9" s="7">
        <f t="shared" si="10"/>
        <v>0</v>
      </c>
      <c r="AF9" s="6">
        <v>45000</v>
      </c>
      <c r="AG9" s="33"/>
      <c r="AH9" s="7">
        <f t="shared" si="11"/>
        <v>0</v>
      </c>
      <c r="AI9" s="6">
        <v>3000</v>
      </c>
      <c r="AJ9" s="51"/>
      <c r="AK9" s="7">
        <f t="shared" si="12"/>
        <v>0</v>
      </c>
      <c r="AM9" s="21">
        <v>50000</v>
      </c>
      <c r="AN9" s="7"/>
      <c r="AO9" s="7">
        <f t="shared" si="8"/>
        <v>0</v>
      </c>
    </row>
    <row r="10" spans="1:41" ht="12.75">
      <c r="A10" s="13">
        <v>45000</v>
      </c>
      <c r="B10" s="38"/>
      <c r="C10" s="7">
        <f t="shared" si="0"/>
        <v>0</v>
      </c>
      <c r="D10" s="13">
        <v>45000</v>
      </c>
      <c r="E10" s="38"/>
      <c r="F10" s="7">
        <f t="shared" si="13"/>
        <v>0</v>
      </c>
      <c r="G10" s="13">
        <v>35000</v>
      </c>
      <c r="H10" s="53"/>
      <c r="I10" s="7">
        <f t="shared" si="1"/>
        <v>0</v>
      </c>
      <c r="J10" s="13">
        <v>35000</v>
      </c>
      <c r="K10" s="53"/>
      <c r="L10" s="7">
        <f t="shared" si="2"/>
        <v>0</v>
      </c>
      <c r="M10" s="13">
        <v>25000</v>
      </c>
      <c r="N10" s="38"/>
      <c r="O10" s="7">
        <f t="shared" si="3"/>
        <v>0</v>
      </c>
      <c r="P10" s="13">
        <v>12500</v>
      </c>
      <c r="Q10" s="7"/>
      <c r="R10" s="7">
        <f t="shared" si="9"/>
        <v>0</v>
      </c>
      <c r="S10" s="6">
        <v>3000</v>
      </c>
      <c r="T10" s="38"/>
      <c r="U10" s="7">
        <f t="shared" si="4"/>
        <v>0</v>
      </c>
      <c r="V10" s="8">
        <v>0</v>
      </c>
      <c r="W10" s="8"/>
      <c r="X10" s="7">
        <f t="shared" si="5"/>
        <v>0</v>
      </c>
      <c r="Z10" s="13">
        <v>45000</v>
      </c>
      <c r="AA10" s="8">
        <f aca="true" t="shared" si="14" ref="AA10:AA15">B10+8</f>
        <v>8</v>
      </c>
      <c r="AB10" s="7">
        <f t="shared" si="7"/>
        <v>13.504</v>
      </c>
      <c r="AC10" s="13">
        <v>45000</v>
      </c>
      <c r="AD10" s="51"/>
      <c r="AE10" s="7">
        <f t="shared" si="10"/>
        <v>0</v>
      </c>
      <c r="AF10" s="13">
        <v>35000</v>
      </c>
      <c r="AG10" s="8"/>
      <c r="AH10" s="7">
        <f>AG10*1.688</f>
        <v>0</v>
      </c>
      <c r="AI10" s="8">
        <v>0</v>
      </c>
      <c r="AJ10" s="7"/>
      <c r="AK10" s="7">
        <f t="shared" si="12"/>
        <v>0</v>
      </c>
      <c r="AM10" s="13">
        <v>45000</v>
      </c>
      <c r="AN10" s="38"/>
      <c r="AO10" s="7">
        <f t="shared" si="8"/>
        <v>0</v>
      </c>
    </row>
    <row r="11" spans="1:41" ht="12.75">
      <c r="A11" s="13">
        <v>35000</v>
      </c>
      <c r="B11" s="53"/>
      <c r="C11" s="7">
        <f t="shared" si="0"/>
        <v>0</v>
      </c>
      <c r="D11" s="13">
        <v>35000</v>
      </c>
      <c r="E11" s="53"/>
      <c r="F11" s="7">
        <f t="shared" si="13"/>
        <v>0</v>
      </c>
      <c r="G11" s="13">
        <v>25000</v>
      </c>
      <c r="H11" s="38"/>
      <c r="I11" s="7">
        <f t="shared" si="1"/>
        <v>0</v>
      </c>
      <c r="J11" s="13">
        <v>25000</v>
      </c>
      <c r="K11" s="38"/>
      <c r="L11" s="7">
        <f t="shared" si="2"/>
        <v>0</v>
      </c>
      <c r="M11" s="13">
        <v>12500</v>
      </c>
      <c r="N11" s="7"/>
      <c r="O11" s="7">
        <f t="shared" si="3"/>
        <v>0</v>
      </c>
      <c r="P11" s="6">
        <v>3000</v>
      </c>
      <c r="Q11" s="38"/>
      <c r="R11" s="7">
        <f t="shared" si="9"/>
        <v>0</v>
      </c>
      <c r="S11" s="8">
        <v>0</v>
      </c>
      <c r="T11" s="8"/>
      <c r="U11" s="7">
        <f t="shared" si="4"/>
        <v>0</v>
      </c>
      <c r="Z11" s="13">
        <v>35000</v>
      </c>
      <c r="AA11" s="8">
        <f t="shared" si="14"/>
        <v>8</v>
      </c>
      <c r="AB11" s="7">
        <f t="shared" si="7"/>
        <v>13.504</v>
      </c>
      <c r="AC11" s="13">
        <v>35000</v>
      </c>
      <c r="AD11" s="53"/>
      <c r="AE11" s="7">
        <f t="shared" si="10"/>
        <v>0</v>
      </c>
      <c r="AF11" s="13">
        <v>25000</v>
      </c>
      <c r="AG11" s="51"/>
      <c r="AH11" s="7">
        <f>AG11*1.688</f>
        <v>0</v>
      </c>
      <c r="AI11" s="8"/>
      <c r="AJ11" s="8"/>
      <c r="AK11" s="8"/>
      <c r="AM11" s="13">
        <v>35000</v>
      </c>
      <c r="AN11" s="53"/>
      <c r="AO11" s="7">
        <f t="shared" si="8"/>
        <v>0</v>
      </c>
    </row>
    <row r="12" spans="1:41" ht="12.75">
      <c r="A12" s="13">
        <v>25000</v>
      </c>
      <c r="B12" s="38"/>
      <c r="C12" s="7">
        <f t="shared" si="0"/>
        <v>0</v>
      </c>
      <c r="D12" s="13">
        <v>25000</v>
      </c>
      <c r="E12" s="38"/>
      <c r="F12" s="7">
        <f t="shared" si="13"/>
        <v>0</v>
      </c>
      <c r="G12" s="13">
        <v>12500</v>
      </c>
      <c r="H12" s="7"/>
      <c r="I12" s="7">
        <f t="shared" si="1"/>
        <v>0</v>
      </c>
      <c r="J12" s="13">
        <v>12500</v>
      </c>
      <c r="K12" s="7"/>
      <c r="L12" s="7">
        <f t="shared" si="2"/>
        <v>0</v>
      </c>
      <c r="M12" s="6">
        <v>3000</v>
      </c>
      <c r="N12" s="38"/>
      <c r="O12" s="7">
        <f t="shared" si="3"/>
        <v>0</v>
      </c>
      <c r="P12" s="8">
        <v>0</v>
      </c>
      <c r="Q12" s="8"/>
      <c r="R12" s="7">
        <f t="shared" si="9"/>
        <v>0</v>
      </c>
      <c r="Z12" s="13">
        <v>25000</v>
      </c>
      <c r="AA12" s="8">
        <f t="shared" si="14"/>
        <v>8</v>
      </c>
      <c r="AB12" s="7">
        <f t="shared" si="7"/>
        <v>13.504</v>
      </c>
      <c r="AC12" s="13">
        <v>25000</v>
      </c>
      <c r="AD12" s="38"/>
      <c r="AE12" s="7">
        <f t="shared" si="10"/>
        <v>0</v>
      </c>
      <c r="AF12" s="13">
        <v>12500</v>
      </c>
      <c r="AG12" s="8"/>
      <c r="AH12" s="7">
        <f>AG12*1.688</f>
        <v>0</v>
      </c>
      <c r="AI12" s="8"/>
      <c r="AJ12" s="8"/>
      <c r="AK12" s="8"/>
      <c r="AM12" s="13">
        <v>25000</v>
      </c>
      <c r="AN12" s="38"/>
      <c r="AO12" s="7">
        <f t="shared" si="8"/>
        <v>0</v>
      </c>
    </row>
    <row r="13" spans="1:41" ht="12.75">
      <c r="A13" s="13">
        <v>12500</v>
      </c>
      <c r="B13" s="7"/>
      <c r="C13" s="7">
        <f t="shared" si="0"/>
        <v>0</v>
      </c>
      <c r="D13" s="13">
        <v>12500</v>
      </c>
      <c r="E13" s="7"/>
      <c r="F13" s="7">
        <f t="shared" si="13"/>
        <v>0</v>
      </c>
      <c r="G13" s="6">
        <v>3000</v>
      </c>
      <c r="H13" s="38"/>
      <c r="I13" s="7">
        <f t="shared" si="1"/>
        <v>0</v>
      </c>
      <c r="J13" s="6">
        <v>3000</v>
      </c>
      <c r="K13" s="38"/>
      <c r="L13" s="7">
        <f t="shared" si="2"/>
        <v>0</v>
      </c>
      <c r="M13" s="8">
        <v>0</v>
      </c>
      <c r="N13" s="8"/>
      <c r="O13" s="7">
        <f t="shared" si="3"/>
        <v>0</v>
      </c>
      <c r="Z13" s="13">
        <v>12500</v>
      </c>
      <c r="AA13" s="7">
        <f t="shared" si="14"/>
        <v>8</v>
      </c>
      <c r="AB13" s="7">
        <f t="shared" si="7"/>
        <v>13.504</v>
      </c>
      <c r="AC13" s="13">
        <v>12500</v>
      </c>
      <c r="AD13" s="7"/>
      <c r="AE13" s="7">
        <f t="shared" si="10"/>
        <v>0</v>
      </c>
      <c r="AF13" s="6">
        <v>3000</v>
      </c>
      <c r="AG13" s="51"/>
      <c r="AH13" s="7">
        <f>AG13*1.688</f>
        <v>0</v>
      </c>
      <c r="AM13" s="13">
        <v>12500</v>
      </c>
      <c r="AN13" s="7"/>
      <c r="AO13" s="7">
        <f t="shared" si="8"/>
        <v>0</v>
      </c>
    </row>
    <row r="14" spans="1:41" ht="12.75">
      <c r="A14" s="6">
        <v>3000</v>
      </c>
      <c r="B14" s="38"/>
      <c r="C14" s="7">
        <f t="shared" si="0"/>
        <v>0</v>
      </c>
      <c r="D14" s="6">
        <v>3000</v>
      </c>
      <c r="E14" s="33"/>
      <c r="F14" s="7">
        <f t="shared" si="13"/>
        <v>0</v>
      </c>
      <c r="G14" s="8">
        <v>0</v>
      </c>
      <c r="H14" s="8"/>
      <c r="I14" s="7">
        <f t="shared" si="1"/>
        <v>0</v>
      </c>
      <c r="J14" s="8">
        <v>0</v>
      </c>
      <c r="K14" s="8"/>
      <c r="L14" s="7">
        <f t="shared" si="2"/>
        <v>0</v>
      </c>
      <c r="Z14" s="6">
        <v>3000</v>
      </c>
      <c r="AA14" s="8">
        <f t="shared" si="14"/>
        <v>8</v>
      </c>
      <c r="AB14" s="7">
        <f t="shared" si="7"/>
        <v>13.504</v>
      </c>
      <c r="AC14" s="6">
        <v>3000</v>
      </c>
      <c r="AD14" s="38"/>
      <c r="AE14" s="7">
        <f t="shared" si="10"/>
        <v>0</v>
      </c>
      <c r="AF14" s="8">
        <v>0</v>
      </c>
      <c r="AG14" s="8"/>
      <c r="AH14" s="7">
        <f>AG14*1.688</f>
        <v>0</v>
      </c>
      <c r="AM14" s="6">
        <v>3000</v>
      </c>
      <c r="AN14" s="38"/>
      <c r="AO14" s="7">
        <f t="shared" si="8"/>
        <v>0</v>
      </c>
    </row>
    <row r="15" spans="1:41" ht="12.75">
      <c r="A15" s="8">
        <v>0</v>
      </c>
      <c r="B15" s="8"/>
      <c r="C15" s="7">
        <f t="shared" si="0"/>
        <v>0</v>
      </c>
      <c r="D15" s="8">
        <v>0</v>
      </c>
      <c r="E15" s="8"/>
      <c r="F15" s="7">
        <f t="shared" si="13"/>
        <v>0</v>
      </c>
      <c r="Z15" s="8">
        <v>0</v>
      </c>
      <c r="AA15" s="8">
        <f t="shared" si="14"/>
        <v>8</v>
      </c>
      <c r="AB15" s="7">
        <f t="shared" si="7"/>
        <v>13.504</v>
      </c>
      <c r="AC15" s="8">
        <v>0</v>
      </c>
      <c r="AD15" s="8"/>
      <c r="AE15" s="7">
        <f t="shared" si="10"/>
        <v>0</v>
      </c>
      <c r="AM15" s="8">
        <v>0</v>
      </c>
      <c r="AN15" s="8"/>
      <c r="AO15" s="7">
        <f t="shared" si="8"/>
        <v>0</v>
      </c>
    </row>
    <row r="17" spans="11:26" ht="12.75">
      <c r="K17" t="s">
        <v>870</v>
      </c>
      <c r="Z17" s="24" t="s">
        <v>723</v>
      </c>
    </row>
    <row r="18" spans="11:26" ht="12.75">
      <c r="K18" t="s">
        <v>964</v>
      </c>
      <c r="Z18" s="24" t="s">
        <v>730</v>
      </c>
    </row>
    <row r="19" ht="12.75">
      <c r="A19" t="s">
        <v>5</v>
      </c>
    </row>
    <row r="20" ht="12.75">
      <c r="K20" t="s">
        <v>965</v>
      </c>
    </row>
    <row r="21" spans="11:15" ht="12.75">
      <c r="K21" t="s">
        <v>9</v>
      </c>
      <c r="N21" s="14"/>
      <c r="O21" s="40"/>
    </row>
    <row r="22" spans="1:15" ht="12.75">
      <c r="A22" s="33" t="s">
        <v>781</v>
      </c>
      <c r="K22" s="55"/>
      <c r="N22" s="27"/>
      <c r="O22" s="27"/>
    </row>
    <row r="23" spans="11:15" ht="12.75">
      <c r="K23" s="55"/>
      <c r="O23" s="27"/>
    </row>
    <row r="24" spans="1:15" ht="12.75">
      <c r="A24" t="s">
        <v>715</v>
      </c>
      <c r="N24" s="27"/>
      <c r="O24" s="27"/>
    </row>
    <row r="27" ht="12.75">
      <c r="I27" s="1" t="s">
        <v>699</v>
      </c>
    </row>
    <row r="28" spans="11:21" ht="12.75">
      <c r="K28" s="11" t="s">
        <v>7</v>
      </c>
      <c r="L28" s="11" t="s">
        <v>4</v>
      </c>
      <c r="M28" s="11" t="s">
        <v>6</v>
      </c>
      <c r="N28" s="11" t="s">
        <v>8</v>
      </c>
      <c r="Q28" s="22"/>
      <c r="R28" s="22"/>
      <c r="S28" s="8"/>
      <c r="T28" s="22"/>
      <c r="U28" s="22"/>
    </row>
    <row r="29" spans="13:21" ht="12.75">
      <c r="M29" s="27"/>
      <c r="N29" s="27"/>
      <c r="O29" s="27"/>
      <c r="Q29" s="8"/>
      <c r="R29" s="8"/>
      <c r="S29" s="8"/>
      <c r="T29" s="8"/>
      <c r="U29" s="8"/>
    </row>
    <row r="30" spans="11:21" ht="12.75">
      <c r="K30" s="27"/>
      <c r="L30" s="27"/>
      <c r="M30" s="27"/>
      <c r="N30" s="27"/>
      <c r="O30" t="s">
        <v>732</v>
      </c>
      <c r="P30" s="24" t="s">
        <v>969</v>
      </c>
      <c r="Q30" s="8"/>
      <c r="R30" s="7"/>
      <c r="S30" s="8"/>
      <c r="T30" s="8"/>
      <c r="U30" s="7"/>
    </row>
    <row r="31" spans="11:18" ht="12.75">
      <c r="K31" s="27" t="s">
        <v>960</v>
      </c>
      <c r="L31" s="27" t="s">
        <v>40</v>
      </c>
      <c r="M31" s="27" t="s">
        <v>41</v>
      </c>
      <c r="N31" s="27"/>
      <c r="O31" t="s">
        <v>805</v>
      </c>
      <c r="P31" s="24" t="s">
        <v>39</v>
      </c>
      <c r="R31" s="106"/>
    </row>
    <row r="32" spans="11:16" ht="12.75">
      <c r="K32" s="27"/>
      <c r="L32" s="27" t="s">
        <v>12</v>
      </c>
      <c r="M32" s="27" t="s">
        <v>13</v>
      </c>
      <c r="N32" s="27"/>
      <c r="O32" t="s">
        <v>861</v>
      </c>
      <c r="P32" s="59" t="s">
        <v>11</v>
      </c>
    </row>
    <row r="33" spans="11:21" ht="12.75">
      <c r="K33" s="126" t="s">
        <v>963</v>
      </c>
      <c r="L33" s="126" t="s">
        <v>987</v>
      </c>
      <c r="M33" s="126" t="s">
        <v>987</v>
      </c>
      <c r="N33" s="27"/>
      <c r="O33" t="s">
        <v>787</v>
      </c>
      <c r="P33" s="125" t="s">
        <v>967</v>
      </c>
      <c r="R33" s="8"/>
      <c r="S33" s="8"/>
      <c r="T33" s="67"/>
      <c r="U33" s="7"/>
    </row>
    <row r="34" spans="11:21" ht="12.75">
      <c r="K34" s="23" t="s">
        <v>961</v>
      </c>
      <c r="L34" s="23" t="s">
        <v>14</v>
      </c>
      <c r="M34" s="23" t="s">
        <v>14</v>
      </c>
      <c r="N34" s="23"/>
      <c r="O34" s="27"/>
      <c r="P34" s="122" t="s">
        <v>962</v>
      </c>
      <c r="Q34" s="22"/>
      <c r="R34" s="8"/>
      <c r="S34" s="8"/>
      <c r="T34" s="8"/>
      <c r="U34" s="7"/>
    </row>
    <row r="35" spans="11:21" ht="12.75">
      <c r="K35" s="23"/>
      <c r="R35" s="82"/>
      <c r="S35" s="8"/>
      <c r="T35" s="22"/>
      <c r="U35" s="22"/>
    </row>
    <row r="36" spans="11:21" ht="12.75">
      <c r="K36" s="60">
        <v>583</v>
      </c>
      <c r="L36" s="60">
        <v>677</v>
      </c>
      <c r="M36" s="60">
        <v>677</v>
      </c>
      <c r="N36" s="60"/>
      <c r="O36" t="s">
        <v>792</v>
      </c>
      <c r="Q36" s="8"/>
      <c r="R36" s="7"/>
      <c r="S36" s="8"/>
      <c r="T36" s="8"/>
      <c r="U36" s="7"/>
    </row>
    <row r="37" spans="11:21" ht="12.75">
      <c r="K37" s="72">
        <f>K36*6.5</f>
        <v>3789.5</v>
      </c>
      <c r="L37" s="72">
        <f>L36*6.5</f>
        <v>4400.5</v>
      </c>
      <c r="M37" s="72">
        <f>M36*6.5</f>
        <v>4400.5</v>
      </c>
      <c r="N37" s="72">
        <f>N36*6.5</f>
        <v>0</v>
      </c>
      <c r="O37" t="s">
        <v>542</v>
      </c>
      <c r="Q37" s="24" t="s">
        <v>755</v>
      </c>
      <c r="R37" s="7"/>
      <c r="S37" s="8"/>
      <c r="T37" s="67"/>
      <c r="U37" s="7"/>
    </row>
    <row r="38" spans="11:21" ht="12.75">
      <c r="K38" s="72">
        <f>K36*6.8</f>
        <v>3964.4</v>
      </c>
      <c r="L38" s="72">
        <f>L36*6.8</f>
        <v>4603.599999999999</v>
      </c>
      <c r="M38" s="72">
        <f>M36*6.8</f>
        <v>4603.599999999999</v>
      </c>
      <c r="N38" s="72">
        <f>N36*6.8</f>
        <v>0</v>
      </c>
      <c r="O38" t="s">
        <v>791</v>
      </c>
      <c r="Q38" s="24" t="s">
        <v>756</v>
      </c>
      <c r="R38" s="7"/>
      <c r="S38" s="8"/>
      <c r="T38" s="8"/>
      <c r="U38" s="7"/>
    </row>
    <row r="39" spans="11:21" ht="12.75">
      <c r="K39" s="23" t="s">
        <v>959</v>
      </c>
      <c r="L39" s="23" t="s">
        <v>16</v>
      </c>
      <c r="M39" s="23" t="s">
        <v>16</v>
      </c>
      <c r="N39" s="23"/>
      <c r="Q39" s="7"/>
      <c r="R39" s="99"/>
      <c r="S39" s="8"/>
      <c r="T39" s="22"/>
      <c r="U39" s="22"/>
    </row>
    <row r="40" spans="11:21" ht="12.75">
      <c r="K40" s="27"/>
      <c r="L40" s="27"/>
      <c r="M40" s="27"/>
      <c r="N40" s="27"/>
      <c r="Q40" s="22"/>
      <c r="R40" s="7"/>
      <c r="S40" s="8"/>
      <c r="T40" s="8"/>
      <c r="U40" s="7"/>
    </row>
    <row r="41" spans="11:21" ht="12.75">
      <c r="K41" s="39"/>
      <c r="L41" s="39" t="s">
        <v>544</v>
      </c>
      <c r="M41" s="39" t="s">
        <v>544</v>
      </c>
      <c r="N41" s="39"/>
      <c r="O41" t="s">
        <v>43</v>
      </c>
      <c r="Q41" s="7"/>
      <c r="R41" s="8"/>
      <c r="S41" s="8"/>
      <c r="T41" s="67"/>
      <c r="U41" s="7"/>
    </row>
    <row r="42" spans="11:21" ht="12.75">
      <c r="K42" s="39"/>
      <c r="L42" s="39" t="s">
        <v>46</v>
      </c>
      <c r="M42" s="39" t="s">
        <v>46</v>
      </c>
      <c r="N42" s="39"/>
      <c r="O42" t="s">
        <v>44</v>
      </c>
      <c r="Q42" s="67"/>
      <c r="R42" s="8"/>
      <c r="S42" s="8"/>
      <c r="T42" s="8"/>
      <c r="U42" s="8"/>
    </row>
    <row r="43" spans="11:17" ht="12.75">
      <c r="K43" s="39"/>
      <c r="L43" s="39" t="s">
        <v>47</v>
      </c>
      <c r="M43" s="39" t="s">
        <v>47</v>
      </c>
      <c r="N43" s="39"/>
      <c r="O43" t="s">
        <v>45</v>
      </c>
      <c r="Q43" s="8"/>
    </row>
    <row r="44" spans="11:14" ht="12.75">
      <c r="K44" s="91"/>
      <c r="L44" s="23" t="s">
        <v>42</v>
      </c>
      <c r="M44" s="23" t="s">
        <v>42</v>
      </c>
      <c r="N44" s="91"/>
    </row>
    <row r="45" spans="11:14" ht="12.75">
      <c r="K45" s="27"/>
      <c r="L45" s="27"/>
      <c r="M45" s="27"/>
      <c r="N45" s="27"/>
    </row>
    <row r="46" spans="11:15" ht="12.75">
      <c r="K46" s="27"/>
      <c r="L46" s="27" t="s">
        <v>612</v>
      </c>
      <c r="M46" s="27" t="s">
        <v>612</v>
      </c>
      <c r="N46" s="27"/>
      <c r="O46" t="s">
        <v>49</v>
      </c>
    </row>
    <row r="47" spans="11:15" ht="12.75">
      <c r="K47" s="91"/>
      <c r="L47" s="39" t="s">
        <v>52</v>
      </c>
      <c r="M47" s="39" t="s">
        <v>52</v>
      </c>
      <c r="N47" s="91"/>
      <c r="O47" t="s">
        <v>48</v>
      </c>
    </row>
    <row r="48" spans="9:15" ht="12.75">
      <c r="I48" s="1" t="s">
        <v>700</v>
      </c>
      <c r="K48" s="23"/>
      <c r="L48" s="27" t="s">
        <v>53</v>
      </c>
      <c r="M48" s="27" t="s">
        <v>53</v>
      </c>
      <c r="N48" s="27"/>
      <c r="O48" t="s">
        <v>50</v>
      </c>
    </row>
    <row r="49" spans="11:14" ht="12.75">
      <c r="K49" s="27"/>
      <c r="L49" s="23" t="s">
        <v>51</v>
      </c>
      <c r="M49" s="23" t="s">
        <v>51</v>
      </c>
      <c r="N49" s="27"/>
    </row>
    <row r="51" spans="12:15" ht="12.75">
      <c r="L51" s="27" t="s">
        <v>54</v>
      </c>
      <c r="M51" s="27" t="s">
        <v>60</v>
      </c>
      <c r="O51" t="s">
        <v>57</v>
      </c>
    </row>
    <row r="52" spans="12:15" ht="12.75">
      <c r="L52" s="27" t="s">
        <v>59</v>
      </c>
      <c r="M52" s="27" t="s">
        <v>61</v>
      </c>
      <c r="O52" t="s">
        <v>56</v>
      </c>
    </row>
    <row r="53" spans="11:14" ht="12.75">
      <c r="K53" s="27"/>
      <c r="L53" s="23" t="s">
        <v>55</v>
      </c>
      <c r="M53" s="23" t="s">
        <v>58</v>
      </c>
      <c r="N53" s="23"/>
    </row>
    <row r="54" spans="11:14" ht="12.75">
      <c r="K54" s="27"/>
      <c r="L54" s="27"/>
      <c r="M54" s="27"/>
      <c r="N54" s="27"/>
    </row>
    <row r="55" spans="11:15" ht="12.75">
      <c r="K55" s="27"/>
      <c r="L55" s="27" t="s">
        <v>530</v>
      </c>
      <c r="M55" s="27" t="s">
        <v>530</v>
      </c>
      <c r="N55" s="27"/>
      <c r="O55" t="s">
        <v>2</v>
      </c>
    </row>
    <row r="56" spans="11:15" ht="12.75">
      <c r="K56" s="27"/>
      <c r="L56" s="23" t="s">
        <v>809</v>
      </c>
      <c r="M56" s="23" t="s">
        <v>809</v>
      </c>
      <c r="N56" s="23"/>
      <c r="O56" t="s">
        <v>3</v>
      </c>
    </row>
    <row r="57" spans="11:14" ht="12.75">
      <c r="K57" s="27"/>
      <c r="L57" s="27"/>
      <c r="M57" s="27"/>
      <c r="N57" s="27"/>
    </row>
    <row r="58" spans="11:15" ht="12.75">
      <c r="K58" s="27"/>
      <c r="L58" s="27" t="s">
        <v>37</v>
      </c>
      <c r="M58" s="27" t="s">
        <v>37</v>
      </c>
      <c r="N58" s="27"/>
      <c r="O58" t="s">
        <v>533</v>
      </c>
    </row>
    <row r="59" spans="11:14" ht="12.75">
      <c r="K59" s="23"/>
      <c r="L59" s="23" t="s">
        <v>38</v>
      </c>
      <c r="M59" s="23" t="s">
        <v>38</v>
      </c>
      <c r="N59" s="27"/>
    </row>
    <row r="60" spans="11:14" ht="12.75">
      <c r="K60" s="27"/>
      <c r="L60" s="27"/>
      <c r="M60" s="27"/>
      <c r="N60" s="27"/>
    </row>
    <row r="61" spans="11:15" ht="12.75">
      <c r="K61" s="27"/>
      <c r="L61" s="68" t="s">
        <v>853</v>
      </c>
      <c r="M61" s="68" t="s">
        <v>853</v>
      </c>
      <c r="N61" s="68"/>
      <c r="O61" t="s">
        <v>383</v>
      </c>
    </row>
    <row r="62" spans="11:14" ht="12.75">
      <c r="K62" s="27"/>
      <c r="L62" s="23" t="s">
        <v>69</v>
      </c>
      <c r="M62" s="23" t="s">
        <v>69</v>
      </c>
      <c r="N62" s="23"/>
    </row>
    <row r="63" ht="12.75">
      <c r="K63" s="27"/>
    </row>
    <row r="64" ht="12.75">
      <c r="K64" s="27"/>
    </row>
    <row r="65" ht="12.75">
      <c r="K65" s="27"/>
    </row>
    <row r="66" spans="11:14" ht="12.75">
      <c r="K66" s="27"/>
      <c r="L66" s="27"/>
      <c r="M66" s="27"/>
      <c r="N66" s="27"/>
    </row>
    <row r="67" spans="11:15" ht="12.75">
      <c r="K67" s="40"/>
      <c r="L67" s="40"/>
      <c r="M67" s="40"/>
      <c r="N67" s="40"/>
      <c r="O67" t="s">
        <v>553</v>
      </c>
    </row>
    <row r="68" spans="11:14" ht="12.75">
      <c r="K68" s="23"/>
      <c r="L68" s="23"/>
      <c r="M68" s="23"/>
      <c r="N68" s="23"/>
    </row>
    <row r="69" spans="9:14" ht="12.75">
      <c r="I69" s="1" t="s">
        <v>701</v>
      </c>
      <c r="K69" s="27"/>
      <c r="L69" s="27"/>
      <c r="M69" s="27"/>
      <c r="N69" s="27"/>
    </row>
    <row r="70" spans="11:14" ht="12.75">
      <c r="K70" s="27"/>
      <c r="L70" s="27"/>
      <c r="M70" s="27"/>
      <c r="N70" s="27"/>
    </row>
    <row r="73" spans="11:15" ht="12.75">
      <c r="K73" s="32" t="s">
        <v>869</v>
      </c>
      <c r="L73" s="32" t="s">
        <v>15</v>
      </c>
      <c r="M73" s="32" t="s">
        <v>15</v>
      </c>
      <c r="N73" s="32" t="s">
        <v>872</v>
      </c>
      <c r="O73" s="32" t="s">
        <v>807</v>
      </c>
    </row>
    <row r="75" spans="11:15" ht="12.75">
      <c r="K75" s="60">
        <f>2720*2</f>
        <v>5440</v>
      </c>
      <c r="L75" s="60">
        <f>3250*2</f>
        <v>6500</v>
      </c>
      <c r="M75" s="60">
        <f>3250*2</f>
        <v>6500</v>
      </c>
      <c r="N75" s="60">
        <f>2680*2</f>
        <v>5360</v>
      </c>
      <c r="O75" s="34" t="s">
        <v>789</v>
      </c>
    </row>
    <row r="76" spans="11:15" ht="12.75">
      <c r="K76" s="27">
        <v>1.26</v>
      </c>
      <c r="L76" s="27">
        <v>1.24</v>
      </c>
      <c r="M76" s="27">
        <v>1.24</v>
      </c>
      <c r="N76" s="27">
        <v>1.03</v>
      </c>
      <c r="O76" s="27" t="s">
        <v>784</v>
      </c>
    </row>
    <row r="77" spans="11:15" ht="12.75">
      <c r="K77" s="62">
        <f>(K75*K76)/3600</f>
        <v>1.904</v>
      </c>
      <c r="L77" s="62">
        <f>(L75*L76)/3600</f>
        <v>2.238888888888889</v>
      </c>
      <c r="M77" s="62">
        <f>(M75*M76)/3600</f>
        <v>2.238888888888889</v>
      </c>
      <c r="N77" s="62">
        <f>(N75*N76)/3600</f>
        <v>1.5335555555555556</v>
      </c>
      <c r="O77" s="34" t="s">
        <v>788</v>
      </c>
    </row>
    <row r="78" ht="12.75">
      <c r="O78" s="27"/>
    </row>
    <row r="79" spans="11:15" ht="12.75">
      <c r="K79" s="60">
        <f>4080*2</f>
        <v>8160</v>
      </c>
      <c r="L79" s="60">
        <f>4650*2</f>
        <v>9300</v>
      </c>
      <c r="M79" s="60">
        <f>4650*2</f>
        <v>9300</v>
      </c>
      <c r="N79" s="60">
        <f>3850*2</f>
        <v>7700</v>
      </c>
      <c r="O79" s="34" t="s">
        <v>790</v>
      </c>
    </row>
    <row r="80" spans="11:15" ht="12.75">
      <c r="K80" s="27">
        <v>2.22</v>
      </c>
      <c r="L80" s="27">
        <v>2.13</v>
      </c>
      <c r="M80" s="27">
        <v>2.13</v>
      </c>
      <c r="N80" s="27">
        <v>2.2</v>
      </c>
      <c r="O80" s="27" t="s">
        <v>784</v>
      </c>
    </row>
    <row r="81" spans="11:15" ht="12.75">
      <c r="K81" s="62">
        <f>(K79*K80)/3600</f>
        <v>5.032</v>
      </c>
      <c r="L81" s="62">
        <f>(L79*L80)/3600</f>
        <v>5.5025</v>
      </c>
      <c r="M81" s="62">
        <f>(M79*M80)/3600</f>
        <v>5.5025</v>
      </c>
      <c r="N81" s="62">
        <f>(N79*N80)/3600</f>
        <v>4.705555555555556</v>
      </c>
      <c r="O81" s="34" t="s">
        <v>788</v>
      </c>
    </row>
    <row r="84" ht="12.75">
      <c r="O84" s="11" t="s">
        <v>799</v>
      </c>
    </row>
    <row r="86" spans="11:15" ht="12.75">
      <c r="K86" s="25"/>
      <c r="L86" s="25"/>
      <c r="M86" s="25"/>
      <c r="N86" s="25"/>
      <c r="O86" s="32" t="s">
        <v>785</v>
      </c>
    </row>
    <row r="87" spans="11:16" ht="12.75">
      <c r="K87" s="40"/>
      <c r="L87" s="40" t="s">
        <v>22</v>
      </c>
      <c r="M87" s="40" t="s">
        <v>34</v>
      </c>
      <c r="N87" s="40"/>
      <c r="P87" s="25" t="s">
        <v>26</v>
      </c>
    </row>
    <row r="88" spans="11:14" ht="12.75">
      <c r="K88" s="23"/>
      <c r="L88" s="23" t="s">
        <v>23</v>
      </c>
      <c r="M88" s="23" t="s">
        <v>23</v>
      </c>
      <c r="N88" s="23"/>
    </row>
    <row r="90" spans="9:15" ht="12.75">
      <c r="I90" s="1"/>
      <c r="N90" s="11" t="s">
        <v>7</v>
      </c>
      <c r="O90" s="23" t="s">
        <v>871</v>
      </c>
    </row>
    <row r="91" spans="9:15" ht="12.75">
      <c r="I91" s="1" t="s">
        <v>702</v>
      </c>
      <c r="O91" s="24" t="s">
        <v>803</v>
      </c>
    </row>
    <row r="93" spans="11:14" ht="12.75">
      <c r="K93" s="27" t="s">
        <v>539</v>
      </c>
      <c r="L93" s="27" t="s">
        <v>793</v>
      </c>
      <c r="M93" s="27" t="s">
        <v>795</v>
      </c>
      <c r="N93" s="27" t="s">
        <v>733</v>
      </c>
    </row>
    <row r="94" spans="11:20" ht="12.75">
      <c r="K94" s="32" t="s">
        <v>796</v>
      </c>
      <c r="L94" s="32" t="s">
        <v>796</v>
      </c>
      <c r="M94" s="32" t="s">
        <v>796</v>
      </c>
      <c r="N94" s="32" t="s">
        <v>796</v>
      </c>
      <c r="O94" s="32" t="s">
        <v>70</v>
      </c>
      <c r="P94" s="58" t="s">
        <v>79</v>
      </c>
      <c r="Q94" s="32" t="s">
        <v>400</v>
      </c>
      <c r="R94" s="32" t="s">
        <v>399</v>
      </c>
      <c r="S94" s="32" t="s">
        <v>970</v>
      </c>
      <c r="T94" s="32" t="s">
        <v>596</v>
      </c>
    </row>
    <row r="95" spans="11:20" ht="12.75">
      <c r="K95" s="40" t="s">
        <v>977</v>
      </c>
      <c r="L95" s="40" t="s">
        <v>978</v>
      </c>
      <c r="M95" s="40" t="s">
        <v>979</v>
      </c>
      <c r="N95" s="40" t="s">
        <v>980</v>
      </c>
      <c r="T95" s="124"/>
    </row>
    <row r="97" spans="11:19" ht="12.75">
      <c r="K97" s="45">
        <v>1</v>
      </c>
      <c r="L97" s="45"/>
      <c r="M97" s="45"/>
      <c r="N97" s="45"/>
      <c r="O97" s="96" t="s">
        <v>25</v>
      </c>
      <c r="P97" s="45" t="s">
        <v>63</v>
      </c>
      <c r="Q97" s="96" t="s">
        <v>384</v>
      </c>
      <c r="R97" s="55" t="s">
        <v>65</v>
      </c>
      <c r="S97" s="27" t="s">
        <v>971</v>
      </c>
    </row>
    <row r="98" spans="11:18" ht="12.75">
      <c r="K98" s="45"/>
      <c r="L98" s="45"/>
      <c r="M98" s="45"/>
      <c r="N98" s="45"/>
      <c r="P98" s="55"/>
      <c r="Q98" s="55"/>
      <c r="R98" s="55"/>
    </row>
    <row r="99" spans="11:19" ht="12.75">
      <c r="K99" s="45"/>
      <c r="L99" s="45">
        <v>1</v>
      </c>
      <c r="M99" s="45">
        <v>1</v>
      </c>
      <c r="N99" s="45"/>
      <c r="O99" s="25"/>
      <c r="P99" s="55" t="s">
        <v>595</v>
      </c>
      <c r="Q99" s="96" t="s">
        <v>594</v>
      </c>
      <c r="R99" s="55" t="s">
        <v>65</v>
      </c>
      <c r="S99" s="25" t="s">
        <v>982</v>
      </c>
    </row>
    <row r="100" spans="11:18" ht="12.75">
      <c r="K100" s="45"/>
      <c r="L100" s="45"/>
      <c r="M100" s="45"/>
      <c r="N100" s="45"/>
      <c r="P100" s="55"/>
      <c r="Q100" s="55"/>
      <c r="R100" s="55"/>
    </row>
    <row r="101" spans="11:20" ht="12.75">
      <c r="K101" s="45"/>
      <c r="L101" s="45"/>
      <c r="M101" s="45">
        <v>1</v>
      </c>
      <c r="N101" s="45">
        <v>1</v>
      </c>
      <c r="O101" s="93" t="s">
        <v>366</v>
      </c>
      <c r="P101" s="45" t="s">
        <v>802</v>
      </c>
      <c r="Q101" s="96" t="s">
        <v>973</v>
      </c>
      <c r="R101" s="97" t="s">
        <v>404</v>
      </c>
      <c r="T101" s="124"/>
    </row>
    <row r="102" spans="11:20" ht="12.75">
      <c r="K102" s="45"/>
      <c r="L102" s="45"/>
      <c r="M102" s="45"/>
      <c r="N102" s="45"/>
      <c r="O102" s="25"/>
      <c r="P102" s="55"/>
      <c r="Q102" s="55"/>
      <c r="R102" s="55"/>
      <c r="T102" s="124"/>
    </row>
    <row r="103" spans="11:20" ht="12.75">
      <c r="K103" s="45"/>
      <c r="L103" s="45">
        <v>1</v>
      </c>
      <c r="M103" s="45">
        <v>1</v>
      </c>
      <c r="N103" s="45"/>
      <c r="O103" s="96" t="s">
        <v>24</v>
      </c>
      <c r="P103" s="45" t="s">
        <v>388</v>
      </c>
      <c r="Q103" s="96" t="s">
        <v>387</v>
      </c>
      <c r="R103" s="97" t="s">
        <v>798</v>
      </c>
      <c r="T103" s="124"/>
    </row>
    <row r="104" spans="11:20" ht="12.75">
      <c r="K104" s="45"/>
      <c r="L104" s="45">
        <v>1</v>
      </c>
      <c r="M104" s="45">
        <v>1</v>
      </c>
      <c r="N104" s="45"/>
      <c r="O104" s="93" t="s">
        <v>366</v>
      </c>
      <c r="P104" s="45" t="s">
        <v>738</v>
      </c>
      <c r="Q104" s="96" t="s">
        <v>983</v>
      </c>
      <c r="R104" s="45" t="s">
        <v>798</v>
      </c>
      <c r="S104" s="45" t="s">
        <v>984</v>
      </c>
      <c r="T104" s="124"/>
    </row>
    <row r="105" spans="11:20" ht="12.75">
      <c r="K105" s="45"/>
      <c r="L105" s="45"/>
      <c r="M105" s="45"/>
      <c r="N105" s="45"/>
      <c r="O105" s="25"/>
      <c r="P105" s="55"/>
      <c r="Q105" s="55"/>
      <c r="R105" s="55"/>
      <c r="T105" s="124"/>
    </row>
    <row r="106" spans="11:20" ht="12.75">
      <c r="K106" s="45"/>
      <c r="L106" s="45">
        <v>1</v>
      </c>
      <c r="M106" s="45">
        <v>3</v>
      </c>
      <c r="N106" s="45">
        <v>6</v>
      </c>
      <c r="O106" s="93" t="s">
        <v>985</v>
      </c>
      <c r="P106" s="45" t="s">
        <v>737</v>
      </c>
      <c r="Q106" s="96" t="s">
        <v>382</v>
      </c>
      <c r="R106" s="45" t="s">
        <v>611</v>
      </c>
      <c r="T106" s="124"/>
    </row>
    <row r="107" spans="11:20" ht="12.75">
      <c r="K107" s="45"/>
      <c r="L107" s="123"/>
      <c r="M107" s="45">
        <v>1</v>
      </c>
      <c r="N107" s="45">
        <v>1</v>
      </c>
      <c r="O107" s="93" t="s">
        <v>406</v>
      </c>
      <c r="P107" s="45" t="s">
        <v>735</v>
      </c>
      <c r="Q107" s="96" t="s">
        <v>407</v>
      </c>
      <c r="R107" s="45" t="s">
        <v>611</v>
      </c>
      <c r="T107" s="124"/>
    </row>
    <row r="108" spans="11:20" ht="12.75">
      <c r="K108" s="45"/>
      <c r="L108" s="45">
        <v>1</v>
      </c>
      <c r="M108" s="45"/>
      <c r="N108" s="45"/>
      <c r="O108" s="93" t="s">
        <v>408</v>
      </c>
      <c r="P108" s="45" t="s">
        <v>66</v>
      </c>
      <c r="Q108" s="96" t="s">
        <v>409</v>
      </c>
      <c r="R108" s="45" t="s">
        <v>611</v>
      </c>
      <c r="T108" s="124"/>
    </row>
    <row r="109" spans="11:20" ht="12.75">
      <c r="K109" s="45"/>
      <c r="L109" s="45"/>
      <c r="M109" s="45">
        <v>1</v>
      </c>
      <c r="N109" s="45">
        <v>1</v>
      </c>
      <c r="O109" s="93" t="s">
        <v>986</v>
      </c>
      <c r="P109" s="45" t="s">
        <v>736</v>
      </c>
      <c r="Q109" s="96" t="s">
        <v>380</v>
      </c>
      <c r="R109" s="45" t="s">
        <v>611</v>
      </c>
      <c r="T109" s="124"/>
    </row>
    <row r="110" spans="11:20" ht="12.75">
      <c r="K110" s="123"/>
      <c r="L110" s="45"/>
      <c r="M110" s="45"/>
      <c r="N110" s="45">
        <v>1</v>
      </c>
      <c r="O110" s="93" t="s">
        <v>410</v>
      </c>
      <c r="P110" s="45" t="s">
        <v>64</v>
      </c>
      <c r="Q110" s="96" t="s">
        <v>411</v>
      </c>
      <c r="R110" s="45" t="s">
        <v>611</v>
      </c>
      <c r="T110" s="124"/>
    </row>
    <row r="111" spans="11:20" ht="12.75">
      <c r="K111" s="45"/>
      <c r="L111" s="45"/>
      <c r="M111" s="45"/>
      <c r="N111" s="45"/>
      <c r="P111" s="55"/>
      <c r="Q111" s="55"/>
      <c r="R111" s="55"/>
      <c r="T111" s="124"/>
    </row>
    <row r="112" spans="9:20" ht="12.75">
      <c r="I112" s="1" t="s">
        <v>706</v>
      </c>
      <c r="K112" s="45">
        <v>1</v>
      </c>
      <c r="L112" s="45"/>
      <c r="M112" s="45"/>
      <c r="N112" s="45"/>
      <c r="O112" s="25"/>
      <c r="P112" s="55"/>
      <c r="Q112" s="45" t="s">
        <v>975</v>
      </c>
      <c r="R112" s="45" t="s">
        <v>416</v>
      </c>
      <c r="T112" s="98" t="s">
        <v>981</v>
      </c>
    </row>
    <row r="113" spans="11:20" ht="12.75">
      <c r="K113" s="45"/>
      <c r="L113" s="45"/>
      <c r="M113" s="45">
        <v>1</v>
      </c>
      <c r="N113" s="45">
        <v>1</v>
      </c>
      <c r="O113" s="96" t="s">
        <v>966</v>
      </c>
      <c r="P113" s="55"/>
      <c r="Q113" s="45" t="s">
        <v>62</v>
      </c>
      <c r="R113" s="45" t="s">
        <v>416</v>
      </c>
      <c r="S113" s="27"/>
      <c r="T113" s="98" t="s">
        <v>36</v>
      </c>
    </row>
    <row r="114" spans="11:20" ht="12.75">
      <c r="K114" s="45"/>
      <c r="L114" s="45"/>
      <c r="M114" s="45"/>
      <c r="N114" s="45"/>
      <c r="O114" s="40"/>
      <c r="P114" s="40"/>
      <c r="Q114" s="40"/>
      <c r="R114" s="93"/>
      <c r="T114" s="124"/>
    </row>
    <row r="115" spans="13:20" ht="12.75">
      <c r="M115" s="40"/>
      <c r="N115" s="40"/>
      <c r="O115" s="40"/>
      <c r="P115" s="40"/>
      <c r="Q115" s="40"/>
      <c r="R115" s="93"/>
      <c r="T115" s="124"/>
    </row>
    <row r="116" spans="14:22" ht="12.75">
      <c r="N116" s="11" t="s">
        <v>4</v>
      </c>
      <c r="O116" s="23" t="s">
        <v>21</v>
      </c>
      <c r="S116" s="93"/>
      <c r="T116" s="124"/>
      <c r="U116" s="96"/>
      <c r="V116" s="45"/>
    </row>
    <row r="117" spans="15:22" ht="12.75">
      <c r="O117" s="24" t="s">
        <v>803</v>
      </c>
      <c r="S117" s="93"/>
      <c r="T117" s="34"/>
      <c r="U117" s="96"/>
      <c r="V117" s="45"/>
    </row>
    <row r="118" spans="19:21" ht="12.75">
      <c r="S118" s="93"/>
      <c r="T118" s="34"/>
      <c r="U118" s="57"/>
    </row>
    <row r="119" spans="11:14" ht="12.75">
      <c r="K119" s="27" t="s">
        <v>539</v>
      </c>
      <c r="L119" s="27" t="s">
        <v>793</v>
      </c>
      <c r="M119" s="27" t="s">
        <v>795</v>
      </c>
      <c r="N119" s="27" t="s">
        <v>733</v>
      </c>
    </row>
    <row r="120" spans="11:20" ht="12.75">
      <c r="K120" s="32" t="s">
        <v>796</v>
      </c>
      <c r="L120" s="32" t="s">
        <v>796</v>
      </c>
      <c r="M120" s="32" t="s">
        <v>796</v>
      </c>
      <c r="N120" s="32" t="s">
        <v>796</v>
      </c>
      <c r="O120" s="32" t="s">
        <v>70</v>
      </c>
      <c r="P120" s="58" t="s">
        <v>79</v>
      </c>
      <c r="Q120" s="32" t="s">
        <v>400</v>
      </c>
      <c r="R120" s="32" t="s">
        <v>399</v>
      </c>
      <c r="S120" s="32" t="s">
        <v>970</v>
      </c>
      <c r="T120" s="32" t="s">
        <v>596</v>
      </c>
    </row>
    <row r="121" spans="11:18" ht="12.75">
      <c r="K121" s="40" t="s">
        <v>977</v>
      </c>
      <c r="L121" s="40" t="s">
        <v>978</v>
      </c>
      <c r="M121" s="40" t="s">
        <v>979</v>
      </c>
      <c r="N121" s="40" t="s">
        <v>980</v>
      </c>
      <c r="O121" s="23" t="s">
        <v>976</v>
      </c>
      <c r="Q121" s="93"/>
      <c r="R121" s="25"/>
    </row>
    <row r="122" spans="11:18" ht="12.75">
      <c r="K122" s="40"/>
      <c r="L122" s="40"/>
      <c r="M122" s="40"/>
      <c r="N122" s="40"/>
      <c r="O122" s="25"/>
      <c r="P122" s="45"/>
      <c r="Q122" s="25"/>
      <c r="R122" s="25"/>
    </row>
    <row r="123" spans="11:19" ht="12.75">
      <c r="K123" s="45">
        <v>1</v>
      </c>
      <c r="L123" s="45"/>
      <c r="M123" s="45"/>
      <c r="N123" s="45"/>
      <c r="O123" s="96" t="s">
        <v>25</v>
      </c>
      <c r="P123" s="45" t="s">
        <v>63</v>
      </c>
      <c r="Q123" s="93" t="s">
        <v>384</v>
      </c>
      <c r="R123" s="25" t="s">
        <v>65</v>
      </c>
      <c r="S123" s="27" t="s">
        <v>971</v>
      </c>
    </row>
    <row r="124" spans="11:19" ht="12.75">
      <c r="K124" s="45"/>
      <c r="L124" s="45"/>
      <c r="M124" s="45"/>
      <c r="N124" s="45"/>
      <c r="O124" s="96"/>
      <c r="P124" s="45"/>
      <c r="Q124" s="93"/>
      <c r="R124" s="98"/>
      <c r="S124" s="27"/>
    </row>
    <row r="125" spans="11:19" ht="12.75">
      <c r="K125" s="45"/>
      <c r="L125" s="45">
        <v>1</v>
      </c>
      <c r="M125" s="45">
        <v>1</v>
      </c>
      <c r="N125" s="45">
        <v>1</v>
      </c>
      <c r="O125" s="96" t="s">
        <v>32</v>
      </c>
      <c r="P125" s="45" t="s">
        <v>376</v>
      </c>
      <c r="Q125" s="93" t="s">
        <v>973</v>
      </c>
      <c r="R125" s="98" t="s">
        <v>404</v>
      </c>
      <c r="S125" s="27"/>
    </row>
    <row r="126" spans="11:19" ht="12.75">
      <c r="K126" s="45"/>
      <c r="L126" s="45">
        <v>1</v>
      </c>
      <c r="M126" s="45">
        <v>1</v>
      </c>
      <c r="N126" s="45">
        <v>1</v>
      </c>
      <c r="O126" s="96" t="s">
        <v>33</v>
      </c>
      <c r="P126" s="45" t="s">
        <v>19</v>
      </c>
      <c r="Q126" s="93" t="s">
        <v>973</v>
      </c>
      <c r="R126" s="98" t="s">
        <v>404</v>
      </c>
      <c r="S126" s="27"/>
    </row>
    <row r="127" spans="11:19" ht="12.75">
      <c r="K127" s="45"/>
      <c r="L127" s="45"/>
      <c r="M127" s="45"/>
      <c r="N127" s="45"/>
      <c r="O127" s="96"/>
      <c r="P127" s="45"/>
      <c r="Q127" s="25"/>
      <c r="R127" s="25"/>
      <c r="S127" s="27"/>
    </row>
    <row r="128" spans="11:19" ht="12.75">
      <c r="K128" s="45"/>
      <c r="L128" s="45">
        <v>1</v>
      </c>
      <c r="M128" s="45">
        <v>1</v>
      </c>
      <c r="N128" s="45">
        <v>1</v>
      </c>
      <c r="O128" s="96" t="s">
        <v>30</v>
      </c>
      <c r="P128" s="45" t="s">
        <v>386</v>
      </c>
      <c r="Q128" s="93" t="s">
        <v>972</v>
      </c>
      <c r="R128" s="98" t="s">
        <v>404</v>
      </c>
      <c r="S128" s="27"/>
    </row>
    <row r="129" spans="11:19" ht="12.75">
      <c r="K129" s="45"/>
      <c r="L129" s="45">
        <v>1</v>
      </c>
      <c r="M129" s="45">
        <v>1</v>
      </c>
      <c r="N129" s="45">
        <v>1</v>
      </c>
      <c r="O129" s="96" t="s">
        <v>31</v>
      </c>
      <c r="P129" s="45" t="s">
        <v>20</v>
      </c>
      <c r="Q129" s="93" t="s">
        <v>972</v>
      </c>
      <c r="R129" s="98" t="s">
        <v>404</v>
      </c>
      <c r="S129" s="40"/>
    </row>
    <row r="130" spans="11:19" ht="12.75">
      <c r="K130" s="45"/>
      <c r="L130" s="45"/>
      <c r="M130" s="45"/>
      <c r="N130" s="45"/>
      <c r="O130" s="96"/>
      <c r="P130" s="45"/>
      <c r="Q130" s="25"/>
      <c r="R130" s="25"/>
      <c r="S130" s="23"/>
    </row>
    <row r="131" spans="11:19" ht="12.75">
      <c r="K131" s="45"/>
      <c r="L131" s="45"/>
      <c r="M131" s="45"/>
      <c r="N131">
        <v>1</v>
      </c>
      <c r="O131" s="96" t="s">
        <v>28</v>
      </c>
      <c r="P131" s="45" t="s">
        <v>610</v>
      </c>
      <c r="Q131" s="93" t="s">
        <v>411</v>
      </c>
      <c r="R131" s="98" t="s">
        <v>95</v>
      </c>
      <c r="S131" s="27" t="s">
        <v>974</v>
      </c>
    </row>
    <row r="132" spans="11:19" ht="12.75">
      <c r="K132" s="45"/>
      <c r="L132" s="45">
        <v>1</v>
      </c>
      <c r="M132" s="45"/>
      <c r="N132" s="45">
        <v>1</v>
      </c>
      <c r="O132" s="96" t="s">
        <v>29</v>
      </c>
      <c r="P132" s="45" t="s">
        <v>437</v>
      </c>
      <c r="Q132" s="93" t="s">
        <v>407</v>
      </c>
      <c r="R132" s="98" t="s">
        <v>95</v>
      </c>
      <c r="S132" s="27"/>
    </row>
    <row r="133" spans="9:19" ht="12.75">
      <c r="I133" s="1" t="s">
        <v>707</v>
      </c>
      <c r="K133" s="45"/>
      <c r="L133" s="45"/>
      <c r="M133" s="45"/>
      <c r="N133" s="45"/>
      <c r="O133" s="96"/>
      <c r="P133" s="45"/>
      <c r="Q133" s="25"/>
      <c r="R133" s="25"/>
      <c r="S133" s="27"/>
    </row>
    <row r="134" spans="11:19" ht="12.75">
      <c r="K134" s="45"/>
      <c r="L134" s="45">
        <v>1</v>
      </c>
      <c r="M134">
        <v>1</v>
      </c>
      <c r="N134" s="45"/>
      <c r="O134" s="96" t="s">
        <v>24</v>
      </c>
      <c r="P134" s="45" t="s">
        <v>388</v>
      </c>
      <c r="Q134" s="93" t="s">
        <v>387</v>
      </c>
      <c r="R134" s="98" t="s">
        <v>798</v>
      </c>
      <c r="S134" s="27"/>
    </row>
    <row r="135" spans="11:19" ht="12.75">
      <c r="K135" s="45"/>
      <c r="L135" s="45">
        <v>1</v>
      </c>
      <c r="M135">
        <v>1</v>
      </c>
      <c r="N135" s="45"/>
      <c r="O135" s="96" t="s">
        <v>351</v>
      </c>
      <c r="P135" s="45" t="s">
        <v>389</v>
      </c>
      <c r="Q135" s="93" t="s">
        <v>390</v>
      </c>
      <c r="R135" s="98" t="s">
        <v>798</v>
      </c>
      <c r="S135" s="27"/>
    </row>
    <row r="136" spans="11:19" ht="12.75">
      <c r="K136" s="123"/>
      <c r="L136" s="45">
        <v>1</v>
      </c>
      <c r="M136">
        <v>1</v>
      </c>
      <c r="N136" s="45"/>
      <c r="O136" s="96" t="s">
        <v>24</v>
      </c>
      <c r="P136" s="45" t="s">
        <v>17</v>
      </c>
      <c r="Q136" s="93" t="s">
        <v>387</v>
      </c>
      <c r="R136" s="98" t="s">
        <v>798</v>
      </c>
      <c r="S136" s="27"/>
    </row>
    <row r="137" spans="11:19" ht="12.75">
      <c r="K137" s="45"/>
      <c r="L137" s="45">
        <v>1</v>
      </c>
      <c r="M137">
        <v>1</v>
      </c>
      <c r="N137" s="45"/>
      <c r="O137" s="96"/>
      <c r="P137" s="45" t="s">
        <v>18</v>
      </c>
      <c r="Q137" s="93" t="s">
        <v>390</v>
      </c>
      <c r="R137" s="98" t="s">
        <v>798</v>
      </c>
      <c r="S137" s="27"/>
    </row>
    <row r="138" spans="11:19" ht="12.75">
      <c r="K138" s="45"/>
      <c r="L138" s="45"/>
      <c r="M138" s="45"/>
      <c r="N138" s="45"/>
      <c r="O138" s="96"/>
      <c r="P138" s="45"/>
      <c r="Q138" s="25"/>
      <c r="R138" s="25"/>
      <c r="S138" s="27"/>
    </row>
    <row r="139" spans="11:19" ht="12.75">
      <c r="K139" s="45"/>
      <c r="L139" s="45">
        <v>1</v>
      </c>
      <c r="M139" s="45">
        <v>1</v>
      </c>
      <c r="N139" s="45">
        <v>5</v>
      </c>
      <c r="O139" s="96" t="s">
        <v>406</v>
      </c>
      <c r="P139" s="45" t="s">
        <v>735</v>
      </c>
      <c r="Q139" s="93" t="s">
        <v>407</v>
      </c>
      <c r="R139" s="98" t="s">
        <v>611</v>
      </c>
      <c r="S139" s="27"/>
    </row>
    <row r="140" spans="11:19" ht="12.75">
      <c r="K140" s="45"/>
      <c r="L140" s="45">
        <v>1</v>
      </c>
      <c r="M140" s="45">
        <v>1</v>
      </c>
      <c r="N140" s="45"/>
      <c r="O140" s="96" t="s">
        <v>27</v>
      </c>
      <c r="P140" s="45" t="s">
        <v>66</v>
      </c>
      <c r="Q140" s="93" t="s">
        <v>409</v>
      </c>
      <c r="R140" s="98" t="s">
        <v>611</v>
      </c>
      <c r="S140" s="27"/>
    </row>
    <row r="141" spans="11:19" ht="12.75">
      <c r="K141" s="45"/>
      <c r="L141" s="45"/>
      <c r="M141" s="45"/>
      <c r="N141">
        <v>1</v>
      </c>
      <c r="O141" s="96" t="s">
        <v>107</v>
      </c>
      <c r="P141" s="45" t="s">
        <v>64</v>
      </c>
      <c r="Q141" s="93" t="s">
        <v>411</v>
      </c>
      <c r="R141" s="98" t="s">
        <v>611</v>
      </c>
      <c r="S141" s="27"/>
    </row>
    <row r="142" spans="11:17" ht="12.75">
      <c r="K142" s="45"/>
      <c r="L142" s="45"/>
      <c r="M142" s="45"/>
      <c r="N142" s="45"/>
      <c r="O142" s="93"/>
      <c r="P142" s="25"/>
      <c r="Q142" s="25"/>
    </row>
    <row r="143" spans="11:20" ht="12.75">
      <c r="K143" s="45"/>
      <c r="L143" s="45"/>
      <c r="M143" s="45">
        <v>1</v>
      </c>
      <c r="N143" s="45">
        <v>1</v>
      </c>
      <c r="O143" s="96" t="s">
        <v>966</v>
      </c>
      <c r="Q143" s="45" t="s">
        <v>62</v>
      </c>
      <c r="R143" s="45" t="s">
        <v>416</v>
      </c>
      <c r="S143" s="27"/>
      <c r="T143" s="25" t="s">
        <v>36</v>
      </c>
    </row>
    <row r="144" spans="11:20" ht="12.75">
      <c r="K144" s="45"/>
      <c r="L144" s="45"/>
      <c r="M144" s="45">
        <v>1</v>
      </c>
      <c r="N144" s="45">
        <v>1</v>
      </c>
      <c r="O144" s="96" t="s">
        <v>968</v>
      </c>
      <c r="Q144" s="45" t="s">
        <v>381</v>
      </c>
      <c r="R144" s="45" t="s">
        <v>416</v>
      </c>
      <c r="S144" s="27"/>
      <c r="T144" s="25" t="s">
        <v>35</v>
      </c>
    </row>
    <row r="145" spans="11:18" ht="12.75">
      <c r="K145" s="45"/>
      <c r="L145" s="45"/>
      <c r="M145" s="45"/>
      <c r="N145" s="45"/>
      <c r="O145" s="25"/>
      <c r="P145" s="25"/>
      <c r="Q145" s="25"/>
      <c r="R145" s="25"/>
    </row>
    <row r="146" spans="11:18" ht="12.75">
      <c r="K146" s="45"/>
      <c r="L146" s="45"/>
      <c r="M146" s="45"/>
      <c r="N146" s="45"/>
      <c r="R146" s="25"/>
    </row>
    <row r="147" spans="11:17" ht="12.75">
      <c r="K147" s="123"/>
      <c r="L147" s="123"/>
      <c r="M147" s="123"/>
      <c r="N147" s="123"/>
      <c r="O147" s="32"/>
      <c r="P147" s="32"/>
      <c r="Q147" s="32"/>
    </row>
    <row r="151" spans="14:15" ht="12.75">
      <c r="N151" s="23"/>
      <c r="O151" s="24"/>
    </row>
    <row r="152" spans="11:17" ht="12.75">
      <c r="K152" s="40"/>
      <c r="L152" s="40"/>
      <c r="M152" s="40"/>
      <c r="N152" s="40"/>
      <c r="O152" s="25"/>
      <c r="P152" s="93"/>
      <c r="Q152" s="98"/>
    </row>
    <row r="153" spans="11:17" ht="12.75">
      <c r="K153" s="40"/>
      <c r="L153" s="40"/>
      <c r="M153" s="40"/>
      <c r="N153" s="40"/>
      <c r="O153" s="25"/>
      <c r="P153" s="93"/>
      <c r="Q153" s="98"/>
    </row>
    <row r="154" ht="12.75">
      <c r="I154" s="1" t="s">
        <v>710</v>
      </c>
    </row>
    <row r="155" spans="12:17" ht="12.75">
      <c r="L155" s="40"/>
      <c r="M155" s="40"/>
      <c r="N155" s="40"/>
      <c r="O155" s="40"/>
      <c r="P155" s="93"/>
      <c r="Q155" s="98"/>
    </row>
    <row r="156" spans="11:17" ht="12.75">
      <c r="K156" s="40"/>
      <c r="L156" s="40"/>
      <c r="M156" s="40"/>
      <c r="N156" s="40"/>
      <c r="O156" s="25"/>
      <c r="P156" s="93"/>
      <c r="Q156" s="98"/>
    </row>
    <row r="157" spans="11:17" ht="12.75">
      <c r="K157" s="40"/>
      <c r="L157" s="40"/>
      <c r="M157" s="40"/>
      <c r="N157" s="40"/>
      <c r="O157" s="25"/>
      <c r="P157" s="25"/>
      <c r="Q157" s="25"/>
    </row>
    <row r="158" spans="11:17" ht="12.75">
      <c r="K158" s="40"/>
      <c r="L158" s="40"/>
      <c r="M158" s="40"/>
      <c r="N158" s="40"/>
      <c r="O158" s="25"/>
      <c r="P158" s="25"/>
      <c r="Q158" s="25"/>
    </row>
    <row r="159" spans="11:17" ht="12.75">
      <c r="K159" s="40"/>
      <c r="L159" s="40"/>
      <c r="M159" s="40"/>
      <c r="N159" s="40"/>
      <c r="O159" s="25"/>
      <c r="P159" s="25"/>
      <c r="Q159" s="25"/>
    </row>
    <row r="160" spans="11:17" ht="12.75">
      <c r="K160" s="40"/>
      <c r="L160" s="40"/>
      <c r="M160" s="40"/>
      <c r="N160" s="40"/>
      <c r="O160" s="25"/>
      <c r="P160" s="25"/>
      <c r="Q160" s="98"/>
    </row>
    <row r="161" spans="12:18" ht="12.75">
      <c r="L161" s="40"/>
      <c r="M161" s="40"/>
      <c r="N161" s="40"/>
      <c r="O161" s="40"/>
      <c r="P161" s="93"/>
      <c r="Q161" s="98"/>
      <c r="R161" s="25"/>
    </row>
    <row r="162" spans="11:18" ht="12.75">
      <c r="K162" s="40"/>
      <c r="L162" s="40"/>
      <c r="M162" s="40"/>
      <c r="N162" s="40"/>
      <c r="O162" s="40"/>
      <c r="P162" s="40"/>
      <c r="Q162" s="98"/>
      <c r="R162" s="23"/>
    </row>
    <row r="163" spans="11:17" ht="12.75">
      <c r="K163" s="40"/>
      <c r="L163" s="40"/>
      <c r="M163" s="40"/>
      <c r="N163" s="40"/>
      <c r="O163" s="40"/>
      <c r="P163" s="40"/>
      <c r="Q163" s="98"/>
    </row>
    <row r="164" spans="11:17" ht="12.75">
      <c r="K164" s="40"/>
      <c r="L164" s="40"/>
      <c r="M164" s="40"/>
      <c r="N164" s="40"/>
      <c r="O164" s="40"/>
      <c r="P164" s="40"/>
      <c r="Q164" s="98"/>
    </row>
    <row r="165" spans="11:17" ht="12.75">
      <c r="K165" s="40"/>
      <c r="L165" s="40"/>
      <c r="M165" s="40"/>
      <c r="N165" s="40"/>
      <c r="O165" s="40"/>
      <c r="P165" s="40"/>
      <c r="Q165" s="98"/>
    </row>
    <row r="166" spans="11:17" ht="12.75">
      <c r="K166" s="40"/>
      <c r="L166" s="40"/>
      <c r="M166" s="40"/>
      <c r="N166" s="40"/>
      <c r="O166" s="40"/>
      <c r="P166" s="40"/>
      <c r="Q166" s="40"/>
    </row>
    <row r="167" spans="11:17" ht="12.75">
      <c r="K167" s="25"/>
      <c r="L167" s="25"/>
      <c r="M167" s="25"/>
      <c r="N167" s="25"/>
      <c r="O167" s="25"/>
      <c r="P167" s="25"/>
      <c r="Q167" s="25"/>
    </row>
    <row r="168" spans="11:17" ht="12.75">
      <c r="K168" s="25"/>
      <c r="L168" s="25"/>
      <c r="M168" s="25"/>
      <c r="N168" s="25"/>
      <c r="O168" s="25"/>
      <c r="P168" s="25"/>
      <c r="Q168" s="25"/>
    </row>
    <row r="169" spans="11:17" ht="12.75">
      <c r="K169" s="25"/>
      <c r="L169" s="25"/>
      <c r="M169" s="25"/>
      <c r="N169" s="40"/>
      <c r="O169" s="25"/>
      <c r="P169" s="25"/>
      <c r="Q169" s="25"/>
    </row>
    <row r="170" spans="11:17" ht="12.75">
      <c r="K170" s="25"/>
      <c r="L170" s="25"/>
      <c r="M170" s="25"/>
      <c r="N170" s="25"/>
      <c r="O170" s="25"/>
      <c r="P170" s="25"/>
      <c r="Q170" s="25"/>
    </row>
    <row r="171" spans="11:17" ht="12.75">
      <c r="K171" s="25"/>
      <c r="L171" s="25"/>
      <c r="M171" s="25"/>
      <c r="N171" s="25"/>
      <c r="O171" s="25"/>
      <c r="P171" s="25"/>
      <c r="Q171" s="25"/>
    </row>
    <row r="172" spans="11:17" ht="12.75">
      <c r="K172" s="25"/>
      <c r="L172" s="25"/>
      <c r="M172" s="25"/>
      <c r="N172" s="25"/>
      <c r="O172" s="25"/>
      <c r="P172" s="25"/>
      <c r="Q172" s="25"/>
    </row>
    <row r="173" spans="11:17" ht="12.75">
      <c r="K173" s="25"/>
      <c r="L173" s="25"/>
      <c r="M173" s="25"/>
      <c r="N173" s="25"/>
      <c r="O173" s="25"/>
      <c r="P173" s="25"/>
      <c r="Q173" s="25"/>
    </row>
    <row r="174" spans="9:17" ht="12.75">
      <c r="I174" s="1" t="s">
        <v>725</v>
      </c>
      <c r="K174" s="25"/>
      <c r="L174" s="25"/>
      <c r="M174" s="25"/>
      <c r="N174" s="25"/>
      <c r="O174" s="93"/>
      <c r="P174" s="98"/>
      <c r="Q174" s="25"/>
    </row>
    <row r="175" spans="11:17" ht="12.75">
      <c r="K175" s="25"/>
      <c r="L175" s="25"/>
      <c r="M175" s="25"/>
      <c r="N175" s="25"/>
      <c r="O175" s="93"/>
      <c r="P175" s="98"/>
      <c r="Q175" s="25"/>
    </row>
    <row r="176" spans="11:17" ht="12.75">
      <c r="K176" s="25"/>
      <c r="L176" s="25"/>
      <c r="M176" s="25"/>
      <c r="N176" s="25"/>
      <c r="O176" s="93"/>
      <c r="P176" s="98"/>
      <c r="Q176" s="25"/>
    </row>
    <row r="177" spans="11:17" ht="12.75">
      <c r="K177" s="25"/>
      <c r="L177" s="25"/>
      <c r="M177" s="25"/>
      <c r="N177" s="25"/>
      <c r="O177" s="25"/>
      <c r="P177" s="25"/>
      <c r="Q177" s="25"/>
    </row>
    <row r="178" spans="11:17" ht="12.75">
      <c r="K178" s="25"/>
      <c r="L178" s="25"/>
      <c r="M178" s="25"/>
      <c r="N178" s="25"/>
      <c r="O178" s="25"/>
      <c r="P178" s="25"/>
      <c r="Q178" s="25"/>
    </row>
    <row r="179" spans="11:17" ht="12.75">
      <c r="K179" s="25"/>
      <c r="L179" s="25"/>
      <c r="M179" s="25"/>
      <c r="N179" s="25"/>
      <c r="O179" s="25"/>
      <c r="P179" s="25"/>
      <c r="Q179" s="2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43"/>
  <sheetViews>
    <sheetView tabSelected="1" workbookViewId="0" topLeftCell="A1">
      <selection activeCell="K25" sqref="K25"/>
    </sheetView>
  </sheetViews>
  <sheetFormatPr defaultColWidth="9.140625" defaultRowHeight="12.75"/>
  <cols>
    <col min="1" max="10" width="10.421875" style="0" customWidth="1"/>
    <col min="11" max="12" width="11.8515625" style="0" customWidth="1"/>
    <col min="13" max="13" width="13.28125" style="0" customWidth="1"/>
    <col min="14" max="14" width="12.140625" style="0" bestFit="1" customWidth="1"/>
    <col min="15" max="15" width="11.57421875" style="0" customWidth="1"/>
    <col min="16" max="16" width="11.8515625" style="0" customWidth="1"/>
    <col min="17" max="19" width="11.57421875" style="0" customWidth="1"/>
    <col min="20" max="24" width="10.421875" style="0" customWidth="1"/>
    <col min="25" max="25" width="2.28125" style="0" customWidth="1"/>
    <col min="26" max="26" width="2.57421875" style="0" customWidth="1"/>
    <col min="27" max="27" width="10.421875" style="0" customWidth="1"/>
    <col min="28" max="28" width="10.00390625" style="0" customWidth="1"/>
    <col min="29" max="35" width="10.421875" style="0" customWidth="1"/>
    <col min="36" max="36" width="11.7109375" style="0" customWidth="1"/>
    <col min="37" max="38" width="10.421875" style="0" customWidth="1"/>
    <col min="39" max="39" width="2.28125" style="0" customWidth="1"/>
    <col min="40" max="43" width="10.421875" style="0" customWidth="1"/>
    <col min="44" max="44" width="2.57421875" style="0" customWidth="1"/>
    <col min="45" max="45" width="11.00390625" style="0" customWidth="1"/>
    <col min="46" max="46" width="10.8515625" style="0" customWidth="1"/>
    <col min="47" max="47" width="11.00390625" style="0" customWidth="1"/>
    <col min="48" max="16384" width="10.421875" style="0" customWidth="1"/>
  </cols>
  <sheetData>
    <row r="1" spans="1:42" ht="12.75">
      <c r="A1" s="1" t="s">
        <v>699</v>
      </c>
      <c r="B1" t="s">
        <v>743</v>
      </c>
      <c r="C1" s="8" t="s">
        <v>719</v>
      </c>
      <c r="D1" s="3" t="s">
        <v>700</v>
      </c>
      <c r="E1" t="s">
        <v>743</v>
      </c>
      <c r="F1" s="8" t="s">
        <v>719</v>
      </c>
      <c r="G1" s="3" t="s">
        <v>701</v>
      </c>
      <c r="H1" t="s">
        <v>743</v>
      </c>
      <c r="I1" s="8" t="s">
        <v>719</v>
      </c>
      <c r="J1" s="3" t="s">
        <v>702</v>
      </c>
      <c r="K1" t="s">
        <v>743</v>
      </c>
      <c r="L1" s="8" t="s">
        <v>719</v>
      </c>
      <c r="M1" s="3" t="s">
        <v>706</v>
      </c>
      <c r="N1" t="s">
        <v>743</v>
      </c>
      <c r="O1" s="8" t="s">
        <v>719</v>
      </c>
      <c r="P1" s="3" t="s">
        <v>707</v>
      </c>
      <c r="Q1" t="s">
        <v>743</v>
      </c>
      <c r="R1" s="8" t="s">
        <v>719</v>
      </c>
      <c r="S1" s="3" t="s">
        <v>710</v>
      </c>
      <c r="T1" t="s">
        <v>743</v>
      </c>
      <c r="U1" s="8" t="s">
        <v>719</v>
      </c>
      <c r="V1" s="3" t="s">
        <v>725</v>
      </c>
      <c r="W1" t="s">
        <v>743</v>
      </c>
      <c r="X1" s="8" t="s">
        <v>719</v>
      </c>
      <c r="Y1" s="3"/>
      <c r="AA1" s="3" t="s">
        <v>714</v>
      </c>
      <c r="AB1" t="s">
        <v>743</v>
      </c>
      <c r="AC1" s="8" t="s">
        <v>719</v>
      </c>
      <c r="AD1" s="15" t="s">
        <v>711</v>
      </c>
      <c r="AE1" t="s">
        <v>743</v>
      </c>
      <c r="AF1" s="8" t="s">
        <v>719</v>
      </c>
      <c r="AG1" s="15" t="s">
        <v>712</v>
      </c>
      <c r="AH1" t="s">
        <v>743</v>
      </c>
      <c r="AI1" s="8" t="s">
        <v>719</v>
      </c>
      <c r="AJ1" s="15" t="s">
        <v>713</v>
      </c>
      <c r="AK1" t="s">
        <v>743</v>
      </c>
      <c r="AL1" s="8" t="s">
        <v>719</v>
      </c>
      <c r="AM1" s="15"/>
      <c r="AN1" s="1" t="s">
        <v>721</v>
      </c>
      <c r="AO1" t="s">
        <v>743</v>
      </c>
      <c r="AP1" s="8" t="s">
        <v>719</v>
      </c>
    </row>
    <row r="2" spans="1:42" ht="12.75">
      <c r="A2" s="102" t="s">
        <v>1075</v>
      </c>
      <c r="C2" s="8"/>
      <c r="D2" s="4"/>
      <c r="F2" s="8"/>
      <c r="G2" s="4"/>
      <c r="I2" s="8"/>
      <c r="J2" s="4"/>
      <c r="L2" s="8"/>
      <c r="M2" s="4"/>
      <c r="O2" s="8"/>
      <c r="P2" s="4"/>
      <c r="R2" s="8"/>
      <c r="S2" s="4"/>
      <c r="U2" s="8"/>
      <c r="V2" s="4"/>
      <c r="X2" s="8"/>
      <c r="Y2" s="4"/>
      <c r="AF2" s="8"/>
      <c r="AG2" s="4"/>
      <c r="AI2" s="8"/>
      <c r="AJ2" s="4"/>
      <c r="AL2" s="8"/>
      <c r="AM2" s="4"/>
      <c r="AN2" s="24" t="s">
        <v>722</v>
      </c>
      <c r="AP2" s="8"/>
    </row>
    <row r="3" spans="1:42" ht="12.75">
      <c r="A3" s="8">
        <v>0</v>
      </c>
      <c r="B3" s="8">
        <v>115</v>
      </c>
      <c r="C3" s="7">
        <f aca="true" t="shared" si="0" ref="C3:C21">B3*1.688</f>
        <v>194.12</v>
      </c>
      <c r="D3" s="8">
        <v>0</v>
      </c>
      <c r="E3" s="139">
        <v>145</v>
      </c>
      <c r="F3" s="7">
        <f>E3*1.688</f>
        <v>244.76</v>
      </c>
      <c r="G3" s="8">
        <v>0</v>
      </c>
      <c r="H3" s="78">
        <v>181</v>
      </c>
      <c r="I3" s="7">
        <f aca="true" t="shared" si="1" ref="I3:I21">H3*1.688</f>
        <v>305.52799999999996</v>
      </c>
      <c r="J3" s="8">
        <v>0</v>
      </c>
      <c r="K3" s="78">
        <v>230</v>
      </c>
      <c r="L3" s="7">
        <f aca="true" t="shared" si="2" ref="L3:L11">K3*1.688</f>
        <v>388.24</v>
      </c>
      <c r="M3" s="8">
        <v>0</v>
      </c>
      <c r="N3" s="78">
        <v>260</v>
      </c>
      <c r="O3" s="7">
        <f aca="true" t="shared" si="3" ref="O3:O15">N3*1.688</f>
        <v>438.88</v>
      </c>
      <c r="P3" s="8">
        <v>0</v>
      </c>
      <c r="Q3" s="78">
        <v>302</v>
      </c>
      <c r="R3" s="7">
        <f aca="true" t="shared" si="4" ref="R3:R15">Q3*1.688</f>
        <v>509.776</v>
      </c>
      <c r="S3" s="8">
        <v>0</v>
      </c>
      <c r="T3" s="78">
        <v>363</v>
      </c>
      <c r="U3" s="7">
        <f>T3*1.688</f>
        <v>612.744</v>
      </c>
      <c r="V3" s="8">
        <v>0</v>
      </c>
      <c r="W3" s="78">
        <v>394</v>
      </c>
      <c r="X3" s="7">
        <f aca="true" t="shared" si="5" ref="X3:X9">W3*1.688</f>
        <v>665.072</v>
      </c>
      <c r="Y3" s="8"/>
      <c r="Z3" s="7"/>
      <c r="AA3" s="8">
        <v>0</v>
      </c>
      <c r="AB3" s="7">
        <f aca="true" t="shared" si="6" ref="AB3:AB11">B3-10</f>
        <v>105</v>
      </c>
      <c r="AC3" s="7">
        <f aca="true" t="shared" si="7" ref="AC3:AC21">AB3*1.688</f>
        <v>177.23999999999998</v>
      </c>
      <c r="AD3" s="8">
        <v>0</v>
      </c>
      <c r="AE3" s="8">
        <v>115</v>
      </c>
      <c r="AF3" s="7">
        <f aca="true" t="shared" si="8" ref="AF3:AF21">AE3*1.688</f>
        <v>194.12</v>
      </c>
      <c r="AG3" s="8">
        <v>0</v>
      </c>
      <c r="AH3" s="78">
        <v>379</v>
      </c>
      <c r="AI3" s="7">
        <f aca="true" t="shared" si="9" ref="AI3:AI19">AH3*1.688</f>
        <v>639.752</v>
      </c>
      <c r="AJ3" s="8">
        <v>0</v>
      </c>
      <c r="AK3" s="78">
        <v>469</v>
      </c>
      <c r="AL3" s="7">
        <f aca="true" t="shared" si="10" ref="AL3:AL10">AK3*1.688</f>
        <v>791.672</v>
      </c>
      <c r="AM3" s="8"/>
      <c r="AN3" s="8">
        <v>0</v>
      </c>
      <c r="AO3" s="8">
        <v>115</v>
      </c>
      <c r="AP3" s="7">
        <f aca="true" t="shared" si="11" ref="AP3:AP21">AO3*1.688</f>
        <v>194.12</v>
      </c>
    </row>
    <row r="4" spans="1:42" ht="12.75">
      <c r="A4" s="6">
        <v>5000</v>
      </c>
      <c r="B4" s="54">
        <v>122</v>
      </c>
      <c r="C4" s="7">
        <f t="shared" si="0"/>
        <v>205.936</v>
      </c>
      <c r="D4" s="6">
        <v>5000</v>
      </c>
      <c r="E4" s="38">
        <v>156</v>
      </c>
      <c r="F4" s="7">
        <f aca="true" t="shared" si="12" ref="F4:F21">E4*1.688</f>
        <v>263.328</v>
      </c>
      <c r="G4" s="6">
        <v>5000</v>
      </c>
      <c r="H4" s="38">
        <v>195</v>
      </c>
      <c r="I4" s="7">
        <f t="shared" si="1"/>
        <v>329.15999999999997</v>
      </c>
      <c r="J4" s="6">
        <v>5000</v>
      </c>
      <c r="K4" s="51">
        <v>247</v>
      </c>
      <c r="L4" s="7">
        <f t="shared" si="2"/>
        <v>416.936</v>
      </c>
      <c r="M4" s="6">
        <v>5000</v>
      </c>
      <c r="N4" s="51">
        <v>279</v>
      </c>
      <c r="O4" s="7">
        <f t="shared" si="3"/>
        <v>470.952</v>
      </c>
      <c r="P4" s="6">
        <v>5000</v>
      </c>
      <c r="Q4" s="51">
        <v>324</v>
      </c>
      <c r="R4" s="7">
        <f t="shared" si="4"/>
        <v>546.912</v>
      </c>
      <c r="S4" s="6">
        <v>5000</v>
      </c>
      <c r="T4" s="51">
        <v>389</v>
      </c>
      <c r="U4" s="7">
        <f aca="true" t="shared" si="13" ref="U4:U13">T4*1.688</f>
        <v>656.632</v>
      </c>
      <c r="V4" s="6">
        <v>5000</v>
      </c>
      <c r="W4" s="51">
        <v>422</v>
      </c>
      <c r="X4" s="7">
        <f t="shared" si="5"/>
        <v>712.336</v>
      </c>
      <c r="Y4" s="115"/>
      <c r="Z4" s="54"/>
      <c r="AA4" s="6">
        <v>5000</v>
      </c>
      <c r="AB4" s="7">
        <f t="shared" si="6"/>
        <v>112</v>
      </c>
      <c r="AC4" s="7">
        <f t="shared" si="7"/>
        <v>189.05599999999998</v>
      </c>
      <c r="AD4" s="6">
        <v>5000</v>
      </c>
      <c r="AE4" s="33">
        <v>122</v>
      </c>
      <c r="AF4" s="7">
        <f t="shared" si="8"/>
        <v>205.936</v>
      </c>
      <c r="AG4" s="6">
        <v>5000</v>
      </c>
      <c r="AH4" s="51">
        <v>406</v>
      </c>
      <c r="AI4" s="7">
        <f t="shared" si="9"/>
        <v>685.328</v>
      </c>
      <c r="AJ4" s="6">
        <v>5000</v>
      </c>
      <c r="AK4" s="51">
        <v>500</v>
      </c>
      <c r="AL4" s="7">
        <f t="shared" si="10"/>
        <v>844</v>
      </c>
      <c r="AM4" s="6"/>
      <c r="AN4" s="6">
        <v>5000</v>
      </c>
      <c r="AO4" s="54">
        <v>122</v>
      </c>
      <c r="AP4" s="7">
        <f t="shared" si="11"/>
        <v>205.936</v>
      </c>
    </row>
    <row r="5" spans="1:42" ht="12.75">
      <c r="A5" s="6">
        <v>10000</v>
      </c>
      <c r="B5" s="33">
        <v>128</v>
      </c>
      <c r="C5" s="7">
        <f t="shared" si="0"/>
        <v>216.064</v>
      </c>
      <c r="D5" s="6">
        <v>10000</v>
      </c>
      <c r="E5" s="141">
        <f>((E6-E4)/2)+E4</f>
        <v>173.5</v>
      </c>
      <c r="F5" s="7">
        <f t="shared" si="12"/>
        <v>292.868</v>
      </c>
      <c r="G5" s="6">
        <v>10000</v>
      </c>
      <c r="H5" s="141">
        <f>((H6-H4)/2)+H4</f>
        <v>222.5</v>
      </c>
      <c r="I5" s="7">
        <f t="shared" si="1"/>
        <v>375.58</v>
      </c>
      <c r="J5" s="6">
        <v>10000</v>
      </c>
      <c r="K5" s="141">
        <f>((K6-K4)/2)+K4</f>
        <v>273.5</v>
      </c>
      <c r="L5" s="7">
        <f t="shared" si="2"/>
        <v>461.668</v>
      </c>
      <c r="M5" s="6">
        <v>10000</v>
      </c>
      <c r="N5" s="141">
        <f>((N6-N4)/2)+N4</f>
        <v>305.5</v>
      </c>
      <c r="O5" s="7">
        <f t="shared" si="3"/>
        <v>515.684</v>
      </c>
      <c r="P5" s="6">
        <v>10000</v>
      </c>
      <c r="Q5" s="141">
        <f>((Q6-Q4)/2)+Q4</f>
        <v>375</v>
      </c>
      <c r="R5" s="7">
        <f t="shared" si="4"/>
        <v>633</v>
      </c>
      <c r="S5" s="6">
        <v>10000</v>
      </c>
      <c r="T5" s="141">
        <f>((T6-T4)/2)+T4</f>
        <v>457.5</v>
      </c>
      <c r="U5" s="7">
        <f t="shared" si="13"/>
        <v>772.26</v>
      </c>
      <c r="V5" s="6">
        <v>10000</v>
      </c>
      <c r="W5" s="112">
        <f>((W4/T4)*T5)+20</f>
        <v>516.3110539845759</v>
      </c>
      <c r="X5" s="7">
        <f t="shared" si="5"/>
        <v>871.5330591259641</v>
      </c>
      <c r="Y5" s="8"/>
      <c r="Z5" s="51"/>
      <c r="AA5" s="6">
        <v>10000</v>
      </c>
      <c r="AB5" s="7">
        <f t="shared" si="6"/>
        <v>118</v>
      </c>
      <c r="AC5" s="7">
        <f t="shared" si="7"/>
        <v>199.184</v>
      </c>
      <c r="AD5" s="6">
        <v>10000</v>
      </c>
      <c r="AE5" s="33">
        <v>128</v>
      </c>
      <c r="AF5" s="7">
        <f t="shared" si="8"/>
        <v>216.064</v>
      </c>
      <c r="AG5" s="6">
        <v>10000</v>
      </c>
      <c r="AH5" s="141">
        <f>((AH6-AH4)/2)+AH4</f>
        <v>438</v>
      </c>
      <c r="AI5" s="7">
        <f t="shared" si="9"/>
        <v>739.3439999999999</v>
      </c>
      <c r="AJ5" s="6">
        <v>10000</v>
      </c>
      <c r="AK5" s="141">
        <f>((AK6-AK4)/2)+AK4</f>
        <v>560</v>
      </c>
      <c r="AL5" s="7">
        <f t="shared" si="10"/>
        <v>945.28</v>
      </c>
      <c r="AM5" s="6"/>
      <c r="AN5" s="6">
        <v>10000</v>
      </c>
      <c r="AO5" s="33">
        <v>128</v>
      </c>
      <c r="AP5" s="7">
        <f t="shared" si="11"/>
        <v>216.064</v>
      </c>
    </row>
    <row r="6" spans="1:42" ht="12.75">
      <c r="A6" s="6">
        <v>15000</v>
      </c>
      <c r="B6" s="38">
        <v>131</v>
      </c>
      <c r="C6" s="7">
        <f t="shared" si="0"/>
        <v>221.128</v>
      </c>
      <c r="D6" s="6">
        <v>15000</v>
      </c>
      <c r="E6" s="38">
        <v>191</v>
      </c>
      <c r="F6" s="7">
        <f t="shared" si="12"/>
        <v>322.408</v>
      </c>
      <c r="G6" s="6">
        <v>15000</v>
      </c>
      <c r="H6" s="38">
        <v>250</v>
      </c>
      <c r="I6" s="7">
        <f t="shared" si="1"/>
        <v>422</v>
      </c>
      <c r="J6" s="6">
        <v>15000</v>
      </c>
      <c r="K6" s="51">
        <v>300</v>
      </c>
      <c r="L6" s="7">
        <f t="shared" si="2"/>
        <v>506.4</v>
      </c>
      <c r="M6" s="6">
        <v>15000</v>
      </c>
      <c r="N6" s="52">
        <v>332</v>
      </c>
      <c r="O6" s="7">
        <f t="shared" si="3"/>
        <v>560.4159999999999</v>
      </c>
      <c r="P6" s="6">
        <v>15000</v>
      </c>
      <c r="Q6" s="52">
        <v>426</v>
      </c>
      <c r="R6" s="7">
        <f t="shared" si="4"/>
        <v>719.088</v>
      </c>
      <c r="S6" s="6">
        <v>15000</v>
      </c>
      <c r="T6" s="51">
        <v>526</v>
      </c>
      <c r="U6" s="7">
        <f t="shared" si="13"/>
        <v>887.8879999999999</v>
      </c>
      <c r="V6" s="6">
        <v>10500</v>
      </c>
      <c r="W6" s="141">
        <f>((W7-W5)/2)+W5</f>
        <v>558.155526992288</v>
      </c>
      <c r="X6" s="7">
        <f t="shared" si="5"/>
        <v>942.1665295629821</v>
      </c>
      <c r="Y6" s="6"/>
      <c r="Z6" s="51"/>
      <c r="AA6" s="6">
        <v>15000</v>
      </c>
      <c r="AB6" s="7">
        <f t="shared" si="6"/>
        <v>121</v>
      </c>
      <c r="AC6" s="7">
        <f t="shared" si="7"/>
        <v>204.248</v>
      </c>
      <c r="AD6" s="6">
        <v>15000</v>
      </c>
      <c r="AE6" s="38">
        <v>131</v>
      </c>
      <c r="AF6" s="7">
        <f t="shared" si="8"/>
        <v>221.128</v>
      </c>
      <c r="AG6" s="6">
        <v>15000</v>
      </c>
      <c r="AH6" s="51">
        <v>470</v>
      </c>
      <c r="AI6" s="7">
        <f t="shared" si="9"/>
        <v>793.36</v>
      </c>
      <c r="AJ6" s="6">
        <v>15000</v>
      </c>
      <c r="AK6" s="51">
        <v>620</v>
      </c>
      <c r="AL6" s="7">
        <f t="shared" si="10"/>
        <v>1046.56</v>
      </c>
      <c r="AM6" s="21"/>
      <c r="AN6" s="6">
        <v>15000</v>
      </c>
      <c r="AO6" s="38">
        <v>131</v>
      </c>
      <c r="AP6" s="7">
        <f t="shared" si="11"/>
        <v>221.128</v>
      </c>
    </row>
    <row r="7" spans="1:42" ht="12.75">
      <c r="A7" s="6">
        <v>20000</v>
      </c>
      <c r="B7" s="33">
        <v>134</v>
      </c>
      <c r="C7" s="7">
        <f t="shared" si="0"/>
        <v>226.19199999999998</v>
      </c>
      <c r="D7" s="6">
        <v>20000</v>
      </c>
      <c r="E7" s="141">
        <f>((E9-E6)/4)+E6</f>
        <v>218.75</v>
      </c>
      <c r="F7" s="7">
        <f t="shared" si="12"/>
        <v>369.25</v>
      </c>
      <c r="G7" s="6">
        <v>20000</v>
      </c>
      <c r="H7" s="141">
        <f>((H9-H6)/4)+H6</f>
        <v>278.25</v>
      </c>
      <c r="I7" s="7">
        <f t="shared" si="1"/>
        <v>469.686</v>
      </c>
      <c r="J7" s="6">
        <v>20000</v>
      </c>
      <c r="K7" s="141">
        <f>((K9-K6)/4)+K6</f>
        <v>382</v>
      </c>
      <c r="L7" s="7">
        <f t="shared" si="2"/>
        <v>644.816</v>
      </c>
      <c r="M7" s="6">
        <v>20000</v>
      </c>
      <c r="N7" s="112">
        <f>((N6/K6)*K7)+20</f>
        <v>442.74666666666667</v>
      </c>
      <c r="O7" s="7">
        <f t="shared" si="3"/>
        <v>747.3563733333333</v>
      </c>
      <c r="P7" s="6">
        <v>20000</v>
      </c>
      <c r="Q7" s="112">
        <f>((Q6/N6)*N7)</f>
        <v>568.1026506024097</v>
      </c>
      <c r="R7" s="7">
        <f t="shared" si="4"/>
        <v>958.9572742168675</v>
      </c>
      <c r="S7" s="6">
        <v>20000</v>
      </c>
      <c r="T7" s="112">
        <f>((T6/Q6)*Q7)</f>
        <v>701.4600803212852</v>
      </c>
      <c r="U7" s="7">
        <f t="shared" si="13"/>
        <v>1184.0646155823295</v>
      </c>
      <c r="V7" s="13">
        <v>10000</v>
      </c>
      <c r="W7" s="78">
        <v>600</v>
      </c>
      <c r="X7" s="7">
        <f t="shared" si="5"/>
        <v>1012.8</v>
      </c>
      <c r="Y7" s="6"/>
      <c r="Z7" s="51"/>
      <c r="AA7" s="6">
        <v>20000</v>
      </c>
      <c r="AB7" s="7">
        <f t="shared" si="6"/>
        <v>124</v>
      </c>
      <c r="AC7" s="7">
        <f t="shared" si="7"/>
        <v>209.31199999999998</v>
      </c>
      <c r="AD7" s="6">
        <v>20000</v>
      </c>
      <c r="AE7" s="33">
        <v>134</v>
      </c>
      <c r="AF7" s="7">
        <f t="shared" si="8"/>
        <v>226.19199999999998</v>
      </c>
      <c r="AG7" s="6">
        <v>20000</v>
      </c>
      <c r="AH7" s="141">
        <f>((AH9-AH6)/4)+AH6</f>
        <v>531</v>
      </c>
      <c r="AI7" s="7">
        <f t="shared" si="9"/>
        <v>896.328</v>
      </c>
      <c r="AJ7" s="6">
        <v>20000</v>
      </c>
      <c r="AK7" s="141">
        <f>((AK9-AK6)/4)+AK6</f>
        <v>700</v>
      </c>
      <c r="AL7" s="7">
        <f t="shared" si="10"/>
        <v>1181.6</v>
      </c>
      <c r="AM7" s="13"/>
      <c r="AN7" s="6">
        <v>20000</v>
      </c>
      <c r="AO7" s="33">
        <v>134</v>
      </c>
      <c r="AP7" s="7">
        <f t="shared" si="11"/>
        <v>226.19199999999998</v>
      </c>
    </row>
    <row r="8" spans="1:42" ht="12.75">
      <c r="A8" s="21">
        <v>30000</v>
      </c>
      <c r="B8" s="33">
        <v>188</v>
      </c>
      <c r="C8" s="7">
        <f t="shared" si="0"/>
        <v>317.344</v>
      </c>
      <c r="D8" s="21">
        <v>30000</v>
      </c>
      <c r="E8" s="141">
        <f>(((E9-E6)*3)/4)+E6</f>
        <v>274.25</v>
      </c>
      <c r="F8" s="7">
        <f t="shared" si="12"/>
        <v>462.93399999999997</v>
      </c>
      <c r="G8" s="21">
        <v>30000</v>
      </c>
      <c r="H8" s="141">
        <f>(((H9-H6)*3)/4)+H6</f>
        <v>334.75</v>
      </c>
      <c r="I8" s="7">
        <f t="shared" si="1"/>
        <v>565.058</v>
      </c>
      <c r="J8" s="21">
        <v>30000</v>
      </c>
      <c r="K8" s="141">
        <f>(((K9-K6)*3)/4)+K6</f>
        <v>546</v>
      </c>
      <c r="L8" s="7">
        <f t="shared" si="2"/>
        <v>921.648</v>
      </c>
      <c r="M8" s="21">
        <v>30000</v>
      </c>
      <c r="N8" s="112">
        <f>((N7/K7)*K8)</f>
        <v>632.8263874345549</v>
      </c>
      <c r="O8" s="7">
        <f t="shared" si="3"/>
        <v>1068.2109419895287</v>
      </c>
      <c r="P8" s="21">
        <v>24000</v>
      </c>
      <c r="Q8" s="112">
        <v>745</v>
      </c>
      <c r="R8" s="7">
        <f t="shared" si="4"/>
        <v>1257.56</v>
      </c>
      <c r="S8" s="21">
        <v>20500</v>
      </c>
      <c r="T8" s="141">
        <f>((T9-T7)/2)+T7</f>
        <v>737.2300401606426</v>
      </c>
      <c r="U8" s="7">
        <f t="shared" si="13"/>
        <v>1244.4443077911646</v>
      </c>
      <c r="V8" s="6">
        <v>5000</v>
      </c>
      <c r="W8" s="33">
        <v>611</v>
      </c>
      <c r="X8" s="7">
        <f t="shared" si="5"/>
        <v>1031.368</v>
      </c>
      <c r="Y8" s="6"/>
      <c r="Z8" s="51"/>
      <c r="AA8" s="21">
        <v>30000</v>
      </c>
      <c r="AB8" s="7">
        <f t="shared" si="6"/>
        <v>178</v>
      </c>
      <c r="AC8" s="7">
        <f t="shared" si="7"/>
        <v>300.464</v>
      </c>
      <c r="AD8" s="21">
        <v>30000</v>
      </c>
      <c r="AE8" s="33">
        <v>188</v>
      </c>
      <c r="AF8" s="7">
        <f t="shared" si="8"/>
        <v>317.344</v>
      </c>
      <c r="AG8" s="21">
        <v>30000</v>
      </c>
      <c r="AH8" s="141">
        <f>(((AH9-AH6)*3)/4)+AH6</f>
        <v>653</v>
      </c>
      <c r="AI8" s="7">
        <f t="shared" si="9"/>
        <v>1102.264</v>
      </c>
      <c r="AJ8" s="21">
        <v>30000</v>
      </c>
      <c r="AK8" s="141">
        <f>(((AK9-AK6)*3)/4)+AK6</f>
        <v>860</v>
      </c>
      <c r="AL8" s="7">
        <f t="shared" si="10"/>
        <v>1451.68</v>
      </c>
      <c r="AM8" s="13"/>
      <c r="AN8" s="21">
        <v>30000</v>
      </c>
      <c r="AO8" s="33">
        <v>188</v>
      </c>
      <c r="AP8" s="7">
        <f t="shared" si="11"/>
        <v>317.344</v>
      </c>
    </row>
    <row r="9" spans="1:42" ht="12.75">
      <c r="A9" s="20">
        <v>35000</v>
      </c>
      <c r="B9" s="33">
        <v>220</v>
      </c>
      <c r="C9" s="7">
        <f t="shared" si="0"/>
        <v>371.36</v>
      </c>
      <c r="D9" s="20">
        <v>35000</v>
      </c>
      <c r="E9" s="33">
        <v>302</v>
      </c>
      <c r="F9" s="7">
        <f t="shared" si="12"/>
        <v>509.776</v>
      </c>
      <c r="G9" s="20">
        <v>35000</v>
      </c>
      <c r="H9" s="33">
        <v>363</v>
      </c>
      <c r="I9" s="7">
        <f t="shared" si="1"/>
        <v>612.744</v>
      </c>
      <c r="J9" s="20">
        <v>35000</v>
      </c>
      <c r="K9" s="33">
        <v>628</v>
      </c>
      <c r="L9" s="7">
        <f t="shared" si="2"/>
        <v>1060.064</v>
      </c>
      <c r="M9" s="20">
        <v>32000</v>
      </c>
      <c r="N9" s="141">
        <f>((N10-N8)/2)+N8</f>
        <v>769.9131937172774</v>
      </c>
      <c r="O9" s="7">
        <f t="shared" si="3"/>
        <v>1299.6134709947642</v>
      </c>
      <c r="P9" s="21">
        <v>25000</v>
      </c>
      <c r="Q9" s="141">
        <f>((Q10-Q8)/2)+Q8</f>
        <v>810.5</v>
      </c>
      <c r="R9" s="7">
        <f t="shared" si="4"/>
        <v>1368.124</v>
      </c>
      <c r="S9" s="13">
        <v>20000</v>
      </c>
      <c r="T9" s="78">
        <v>773</v>
      </c>
      <c r="U9" s="7">
        <f t="shared" si="13"/>
        <v>1304.824</v>
      </c>
      <c r="V9" s="100">
        <v>0</v>
      </c>
      <c r="W9" s="112">
        <f>(807/890)*W8</f>
        <v>554.0191011235955</v>
      </c>
      <c r="X9" s="7">
        <f t="shared" si="5"/>
        <v>935.1842426966292</v>
      </c>
      <c r="Y9" s="21"/>
      <c r="Z9" s="2"/>
      <c r="AA9" s="20">
        <v>35000</v>
      </c>
      <c r="AB9" s="7">
        <f t="shared" si="6"/>
        <v>210</v>
      </c>
      <c r="AC9" s="7">
        <f t="shared" si="7"/>
        <v>354.47999999999996</v>
      </c>
      <c r="AD9" s="20">
        <v>35000</v>
      </c>
      <c r="AE9" s="33">
        <v>220</v>
      </c>
      <c r="AF9" s="7">
        <f t="shared" si="8"/>
        <v>371.36</v>
      </c>
      <c r="AG9" s="20">
        <v>35000</v>
      </c>
      <c r="AH9" s="51">
        <v>714</v>
      </c>
      <c r="AI9" s="7">
        <f t="shared" si="9"/>
        <v>1205.232</v>
      </c>
      <c r="AJ9" s="20">
        <v>35000</v>
      </c>
      <c r="AK9" s="51">
        <v>940</v>
      </c>
      <c r="AL9" s="7">
        <f t="shared" si="10"/>
        <v>1586.72</v>
      </c>
      <c r="AM9" s="13"/>
      <c r="AN9" s="20">
        <v>35000</v>
      </c>
      <c r="AO9" s="33">
        <v>220</v>
      </c>
      <c r="AP9" s="7">
        <f t="shared" si="11"/>
        <v>371.36</v>
      </c>
    </row>
    <row r="10" spans="1:42" ht="12.75">
      <c r="A10" s="13">
        <v>40000</v>
      </c>
      <c r="B10" s="52">
        <v>252</v>
      </c>
      <c r="C10" s="7">
        <f t="shared" si="0"/>
        <v>425.376</v>
      </c>
      <c r="D10" s="13">
        <v>40000</v>
      </c>
      <c r="E10" s="112">
        <f>((E9/AE9)*AE10)</f>
        <v>345.92727272727274</v>
      </c>
      <c r="F10" s="7">
        <f t="shared" si="12"/>
        <v>583.9252363636364</v>
      </c>
      <c r="G10" s="13">
        <v>40000</v>
      </c>
      <c r="H10" s="112">
        <f>((H9/E9)*E10)+20</f>
        <v>435.8</v>
      </c>
      <c r="I10" s="7">
        <f t="shared" si="1"/>
        <v>735.6304</v>
      </c>
      <c r="J10" s="13">
        <v>40000</v>
      </c>
      <c r="K10" s="112">
        <v>780</v>
      </c>
      <c r="L10" s="7">
        <f t="shared" si="2"/>
        <v>1316.6399999999999</v>
      </c>
      <c r="M10" s="13">
        <v>30000</v>
      </c>
      <c r="N10" s="112">
        <v>907</v>
      </c>
      <c r="O10" s="7">
        <f t="shared" si="3"/>
        <v>1531.0159999999998</v>
      </c>
      <c r="P10" s="13">
        <v>24000</v>
      </c>
      <c r="Q10" s="78">
        <v>876</v>
      </c>
      <c r="R10" s="7">
        <f t="shared" si="4"/>
        <v>1478.6879999999999</v>
      </c>
      <c r="S10" s="6">
        <v>15000</v>
      </c>
      <c r="T10" s="33">
        <v>789</v>
      </c>
      <c r="U10" s="7">
        <f t="shared" si="13"/>
        <v>1331.8319999999999</v>
      </c>
      <c r="Y10" s="20"/>
      <c r="Z10" s="33"/>
      <c r="AA10" s="13">
        <v>40000</v>
      </c>
      <c r="AB10" s="7">
        <f t="shared" si="6"/>
        <v>242</v>
      </c>
      <c r="AC10" s="7">
        <f t="shared" si="7"/>
        <v>408.496</v>
      </c>
      <c r="AD10" s="13">
        <v>40000</v>
      </c>
      <c r="AE10" s="52">
        <v>252</v>
      </c>
      <c r="AF10" s="7">
        <f t="shared" si="8"/>
        <v>425.376</v>
      </c>
      <c r="AG10" s="13">
        <v>40000</v>
      </c>
      <c r="AH10" s="78">
        <v>787</v>
      </c>
      <c r="AI10" s="7">
        <f t="shared" si="9"/>
        <v>1328.456</v>
      </c>
      <c r="AJ10" s="13">
        <v>37000</v>
      </c>
      <c r="AK10" s="142">
        <f>((AK11-AK9)/2)+AK9</f>
        <v>1037.5</v>
      </c>
      <c r="AL10" s="7">
        <f t="shared" si="10"/>
        <v>1751.3</v>
      </c>
      <c r="AM10" s="13"/>
      <c r="AN10" s="13">
        <v>40000</v>
      </c>
      <c r="AO10" s="52">
        <v>252</v>
      </c>
      <c r="AP10" s="7">
        <f t="shared" si="11"/>
        <v>425.376</v>
      </c>
    </row>
    <row r="11" spans="1:42" ht="12.75">
      <c r="A11" s="13">
        <v>50000</v>
      </c>
      <c r="B11" s="33">
        <v>378</v>
      </c>
      <c r="C11" s="7">
        <f t="shared" si="0"/>
        <v>638.064</v>
      </c>
      <c r="D11" s="13">
        <v>46500</v>
      </c>
      <c r="E11" s="112">
        <f>((E10/AE10)*AE11)</f>
        <v>518.8909090909091</v>
      </c>
      <c r="F11" s="7">
        <f t="shared" si="12"/>
        <v>875.8878545454545</v>
      </c>
      <c r="G11" s="13">
        <v>44000</v>
      </c>
      <c r="H11" s="112">
        <f>((H10/E10)*E11)</f>
        <v>653.6999999999999</v>
      </c>
      <c r="I11" s="7">
        <f t="shared" si="1"/>
        <v>1103.4455999999998</v>
      </c>
      <c r="J11" s="13">
        <v>42000</v>
      </c>
      <c r="K11" s="141">
        <f>((K12-K10)/2)+K10</f>
        <v>961.1374906085649</v>
      </c>
      <c r="L11" s="7">
        <f t="shared" si="2"/>
        <v>1622.4000841472575</v>
      </c>
      <c r="M11" s="13">
        <v>20000</v>
      </c>
      <c r="N11" s="111">
        <v>946</v>
      </c>
      <c r="O11" s="7">
        <f t="shared" si="3"/>
        <v>1596.848</v>
      </c>
      <c r="P11" s="13">
        <v>20000</v>
      </c>
      <c r="Q11" s="78">
        <v>890</v>
      </c>
      <c r="R11" s="7">
        <f t="shared" si="4"/>
        <v>1502.32</v>
      </c>
      <c r="S11" s="13">
        <v>10000</v>
      </c>
      <c r="T11" s="141">
        <f>((T12-T10)/2)+T10</f>
        <v>807</v>
      </c>
      <c r="U11" s="7">
        <f t="shared" si="13"/>
        <v>1362.216</v>
      </c>
      <c r="V11" s="21"/>
      <c r="W11" s="91" t="s">
        <v>1225</v>
      </c>
      <c r="X11" s="7"/>
      <c r="Y11" s="13"/>
      <c r="Z11" s="33"/>
      <c r="AA11" s="13">
        <v>50000</v>
      </c>
      <c r="AB11" s="7">
        <f t="shared" si="6"/>
        <v>368</v>
      </c>
      <c r="AC11" s="7">
        <f t="shared" si="7"/>
        <v>621.184</v>
      </c>
      <c r="AD11" s="13">
        <v>50000</v>
      </c>
      <c r="AE11" s="33">
        <v>378</v>
      </c>
      <c r="AF11" s="7">
        <f t="shared" si="8"/>
        <v>638.064</v>
      </c>
      <c r="AG11" s="13">
        <v>43000</v>
      </c>
      <c r="AH11" s="141">
        <f>((AH12-AH10)/2)+AH10</f>
        <v>1018</v>
      </c>
      <c r="AI11" s="7">
        <f t="shared" si="9"/>
        <v>1718.384</v>
      </c>
      <c r="AJ11" s="20">
        <v>35000</v>
      </c>
      <c r="AK11" s="51">
        <v>1135</v>
      </c>
      <c r="AL11" s="7">
        <f aca="true" t="shared" si="14" ref="AL11:AL17">AK11*1.688</f>
        <v>1915.8799999999999</v>
      </c>
      <c r="AM11" s="100"/>
      <c r="AN11" s="13">
        <v>50000</v>
      </c>
      <c r="AO11" s="33">
        <v>378</v>
      </c>
      <c r="AP11" s="7">
        <f t="shared" si="11"/>
        <v>638.064</v>
      </c>
    </row>
    <row r="12" spans="1:42" ht="12.75">
      <c r="A12" s="13">
        <v>56000</v>
      </c>
      <c r="B12" s="140">
        <f>((B13-B11)/2)+B11</f>
        <v>865</v>
      </c>
      <c r="C12" s="7">
        <f t="shared" si="0"/>
        <v>1460.12</v>
      </c>
      <c r="D12" s="13">
        <v>51000</v>
      </c>
      <c r="E12" s="141">
        <f>((E13-E11)/2)+E11</f>
        <v>921.8752066115703</v>
      </c>
      <c r="F12" s="7">
        <f t="shared" si="12"/>
        <v>1556.1253487603306</v>
      </c>
      <c r="G12" s="13">
        <v>46000</v>
      </c>
      <c r="H12" s="141">
        <f>((H13-H11)/2)+H11</f>
        <v>957.0152892561982</v>
      </c>
      <c r="I12" s="7">
        <f t="shared" si="1"/>
        <v>1615.4418082644625</v>
      </c>
      <c r="J12" s="13">
        <v>40000</v>
      </c>
      <c r="K12" s="112">
        <f>((K13/H15)*H14)</f>
        <v>1142.2749812171298</v>
      </c>
      <c r="L12" s="7">
        <f aca="true" t="shared" si="15" ref="L12:L19">K12*1.688</f>
        <v>1928.1601682945152</v>
      </c>
      <c r="M12" s="6">
        <v>15000</v>
      </c>
      <c r="N12" s="33">
        <v>965</v>
      </c>
      <c r="O12" s="7">
        <f t="shared" si="3"/>
        <v>1628.9199999999998</v>
      </c>
      <c r="P12" s="6">
        <v>15000</v>
      </c>
      <c r="Q12" s="52">
        <v>908</v>
      </c>
      <c r="R12" s="7">
        <f t="shared" si="4"/>
        <v>1532.704</v>
      </c>
      <c r="S12" s="6">
        <v>5000</v>
      </c>
      <c r="T12" s="33">
        <v>825</v>
      </c>
      <c r="U12" s="7">
        <f t="shared" si="13"/>
        <v>1392.6</v>
      </c>
      <c r="V12" s="20"/>
      <c r="W12" s="33"/>
      <c r="X12" s="7"/>
      <c r="Y12" s="20"/>
      <c r="Z12" s="33"/>
      <c r="AA12" s="13">
        <v>57000</v>
      </c>
      <c r="AB12" s="7">
        <f>B12+10</f>
        <v>875</v>
      </c>
      <c r="AC12" s="7">
        <f t="shared" si="7"/>
        <v>1477</v>
      </c>
      <c r="AD12" s="13">
        <v>55000</v>
      </c>
      <c r="AE12" s="140">
        <f>((AE13-AE11)/2)+AE11</f>
        <v>860</v>
      </c>
      <c r="AF12" s="7">
        <f t="shared" si="8"/>
        <v>1451.68</v>
      </c>
      <c r="AG12" s="13">
        <v>40000</v>
      </c>
      <c r="AH12" s="111">
        <v>1249</v>
      </c>
      <c r="AI12" s="7">
        <f t="shared" si="9"/>
        <v>2108.312</v>
      </c>
      <c r="AJ12" s="13">
        <v>30000</v>
      </c>
      <c r="AK12" s="141">
        <f>(((AK11-AK14)*3)/4)+AK14</f>
        <v>1080</v>
      </c>
      <c r="AL12" s="7">
        <f t="shared" si="14"/>
        <v>1823.04</v>
      </c>
      <c r="AM12" s="13"/>
      <c r="AN12" s="13">
        <v>56000</v>
      </c>
      <c r="AO12" s="140">
        <f>((AO13-AO11)/2)+AO11</f>
        <v>860</v>
      </c>
      <c r="AP12" s="7">
        <f t="shared" si="11"/>
        <v>1451.68</v>
      </c>
    </row>
    <row r="13" spans="1:42" ht="12.75">
      <c r="A13" s="20">
        <v>50000</v>
      </c>
      <c r="B13" s="33">
        <v>1352</v>
      </c>
      <c r="C13" s="7">
        <f t="shared" si="0"/>
        <v>2282.176</v>
      </c>
      <c r="D13" s="20">
        <v>46500</v>
      </c>
      <c r="E13" s="112">
        <f>((E14/AE14)*AE13)</f>
        <v>1324.8595041322315</v>
      </c>
      <c r="F13" s="7">
        <f t="shared" si="12"/>
        <v>2236.3628429752066</v>
      </c>
      <c r="G13" s="20">
        <v>44000</v>
      </c>
      <c r="H13" s="112">
        <f>((H14/E14)*E13)</f>
        <v>1260.3305785123966</v>
      </c>
      <c r="I13" s="7">
        <f t="shared" si="1"/>
        <v>2127.4380165289253</v>
      </c>
      <c r="J13" s="20">
        <v>35000</v>
      </c>
      <c r="K13" s="33">
        <v>1138</v>
      </c>
      <c r="L13" s="7">
        <f t="shared" si="15"/>
        <v>1920.944</v>
      </c>
      <c r="M13" s="13">
        <v>10000</v>
      </c>
      <c r="N13" s="141">
        <f>((N14-N12)/2)+N12</f>
        <v>917.5</v>
      </c>
      <c r="O13" s="7">
        <f t="shared" si="3"/>
        <v>1548.74</v>
      </c>
      <c r="P13" s="13">
        <v>10000</v>
      </c>
      <c r="Q13" s="141">
        <f>((Q14-Q12)/2)+Q12</f>
        <v>876</v>
      </c>
      <c r="R13" s="7">
        <f t="shared" si="4"/>
        <v>1478.6879999999999</v>
      </c>
      <c r="S13" s="100">
        <v>0</v>
      </c>
      <c r="T13" s="112">
        <f>(807/890)*T12</f>
        <v>748.061797752809</v>
      </c>
      <c r="U13" s="7">
        <f t="shared" si="13"/>
        <v>1262.7283146067414</v>
      </c>
      <c r="V13" s="13"/>
      <c r="W13" s="33"/>
      <c r="X13" s="7"/>
      <c r="Y13" s="13"/>
      <c r="Z13" s="33"/>
      <c r="AA13" s="20">
        <v>50000</v>
      </c>
      <c r="AB13" s="7">
        <f aca="true" t="shared" si="16" ref="AB13:AB21">B13+10</f>
        <v>1362</v>
      </c>
      <c r="AC13" s="7">
        <f t="shared" si="7"/>
        <v>2299.056</v>
      </c>
      <c r="AD13" s="20">
        <v>50000</v>
      </c>
      <c r="AE13" s="33">
        <v>1342</v>
      </c>
      <c r="AF13" s="7">
        <f t="shared" si="8"/>
        <v>2265.296</v>
      </c>
      <c r="AG13" s="20">
        <v>35000</v>
      </c>
      <c r="AH13" s="38">
        <v>1256</v>
      </c>
      <c r="AI13" s="7">
        <f t="shared" si="9"/>
        <v>2120.128</v>
      </c>
      <c r="AJ13" s="13">
        <v>20000</v>
      </c>
      <c r="AK13" s="141">
        <f>((AK11-AK14)/4)+AK14</f>
        <v>970</v>
      </c>
      <c r="AL13" s="7">
        <f t="shared" si="14"/>
        <v>1637.36</v>
      </c>
      <c r="AM13" s="20"/>
      <c r="AN13" s="20">
        <v>50000</v>
      </c>
      <c r="AO13" s="33">
        <v>1342</v>
      </c>
      <c r="AP13" s="7">
        <f t="shared" si="11"/>
        <v>2265.296</v>
      </c>
    </row>
    <row r="14" spans="1:42" ht="12.75">
      <c r="A14" s="13">
        <v>40000</v>
      </c>
      <c r="B14" s="33">
        <v>1346</v>
      </c>
      <c r="C14" s="7">
        <f t="shared" si="0"/>
        <v>2272.048</v>
      </c>
      <c r="D14" s="13">
        <v>40000</v>
      </c>
      <c r="E14" s="112">
        <f>((E15/AE15)*AE14)</f>
        <v>1318.9361382419233</v>
      </c>
      <c r="F14" s="7">
        <f t="shared" si="12"/>
        <v>2226.3642013523663</v>
      </c>
      <c r="G14" s="13">
        <v>40000</v>
      </c>
      <c r="H14" s="112">
        <f>((H15/E15)*E14)</f>
        <v>1254.6957175056348</v>
      </c>
      <c r="I14" s="7">
        <f t="shared" si="1"/>
        <v>2117.9263711495114</v>
      </c>
      <c r="J14" s="13">
        <v>30000</v>
      </c>
      <c r="K14" s="141">
        <f>(((K13-K16)*3)/4)+K16</f>
        <v>1108.75</v>
      </c>
      <c r="L14" s="7">
        <f t="shared" si="15"/>
        <v>1871.57</v>
      </c>
      <c r="M14" s="6">
        <v>5000</v>
      </c>
      <c r="N14" s="33">
        <v>870</v>
      </c>
      <c r="O14" s="7">
        <f t="shared" si="3"/>
        <v>1468.56</v>
      </c>
      <c r="P14" s="6">
        <v>5000</v>
      </c>
      <c r="Q14" s="33">
        <v>844</v>
      </c>
      <c r="R14" s="7">
        <f t="shared" si="4"/>
        <v>1424.672</v>
      </c>
      <c r="S14" s="20"/>
      <c r="U14" s="7"/>
      <c r="V14" s="20"/>
      <c r="W14" s="33"/>
      <c r="X14" s="7"/>
      <c r="Y14" s="20"/>
      <c r="Z14" s="33"/>
      <c r="AA14" s="13">
        <v>40000</v>
      </c>
      <c r="AB14" s="7">
        <f t="shared" si="16"/>
        <v>1356</v>
      </c>
      <c r="AC14" s="7">
        <f t="shared" si="7"/>
        <v>2288.928</v>
      </c>
      <c r="AD14" s="13">
        <v>40000</v>
      </c>
      <c r="AE14" s="33">
        <v>1336</v>
      </c>
      <c r="AF14" s="7">
        <f t="shared" si="8"/>
        <v>2255.168</v>
      </c>
      <c r="AG14" s="13">
        <v>30000</v>
      </c>
      <c r="AH14" s="141">
        <f>(((AH13-AH16)*3)/4)+AH16</f>
        <v>1190</v>
      </c>
      <c r="AI14" s="7">
        <f t="shared" si="9"/>
        <v>2008.72</v>
      </c>
      <c r="AJ14" s="6">
        <v>15000</v>
      </c>
      <c r="AK14" s="33">
        <v>915</v>
      </c>
      <c r="AL14" s="7">
        <f t="shared" si="14"/>
        <v>1544.52</v>
      </c>
      <c r="AM14" s="20"/>
      <c r="AN14" s="13">
        <v>40000</v>
      </c>
      <c r="AO14" s="33">
        <v>1336</v>
      </c>
      <c r="AP14" s="7">
        <f t="shared" si="11"/>
        <v>2255.168</v>
      </c>
    </row>
    <row r="15" spans="1:42" ht="12.75">
      <c r="A15" s="20">
        <v>35000</v>
      </c>
      <c r="B15" s="33">
        <v>1341</v>
      </c>
      <c r="C15" s="7">
        <f t="shared" si="0"/>
        <v>2263.6079999999997</v>
      </c>
      <c r="D15" s="20">
        <v>35000</v>
      </c>
      <c r="E15" s="33">
        <v>1314</v>
      </c>
      <c r="F15" s="7">
        <f t="shared" si="12"/>
        <v>2218.032</v>
      </c>
      <c r="G15" s="20">
        <v>35000</v>
      </c>
      <c r="H15" s="33">
        <v>1250</v>
      </c>
      <c r="I15" s="7">
        <f t="shared" si="1"/>
        <v>2110</v>
      </c>
      <c r="J15" s="13">
        <v>20000</v>
      </c>
      <c r="K15" s="141">
        <f>((K13-K16)/4)+K16</f>
        <v>1050.25</v>
      </c>
      <c r="L15" s="7">
        <f t="shared" si="15"/>
        <v>1772.822</v>
      </c>
      <c r="M15" s="100">
        <v>0</v>
      </c>
      <c r="N15" s="112">
        <f>(807/890)*N14</f>
        <v>788.8651685393259</v>
      </c>
      <c r="O15" s="7">
        <f t="shared" si="3"/>
        <v>1331.604404494382</v>
      </c>
      <c r="P15" s="100">
        <v>0</v>
      </c>
      <c r="Q15" s="112">
        <f>(807/890)*Q14</f>
        <v>765.2898876404494</v>
      </c>
      <c r="R15" s="7">
        <f t="shared" si="4"/>
        <v>1291.8093303370786</v>
      </c>
      <c r="V15" s="13"/>
      <c r="W15" s="33"/>
      <c r="X15" s="7"/>
      <c r="Y15" s="100"/>
      <c r="AA15" s="20">
        <v>35000</v>
      </c>
      <c r="AB15" s="7">
        <f t="shared" si="16"/>
        <v>1351</v>
      </c>
      <c r="AC15" s="7">
        <f t="shared" si="7"/>
        <v>2280.488</v>
      </c>
      <c r="AD15" s="20">
        <v>35000</v>
      </c>
      <c r="AE15" s="33">
        <v>1331</v>
      </c>
      <c r="AF15" s="7">
        <f t="shared" si="8"/>
        <v>2246.728</v>
      </c>
      <c r="AG15" s="13">
        <v>20000</v>
      </c>
      <c r="AH15" s="141">
        <f>((AH13-AH16)/4)+AH16</f>
        <v>1058</v>
      </c>
      <c r="AI15" s="7">
        <f t="shared" si="9"/>
        <v>1785.904</v>
      </c>
      <c r="AJ15" s="13">
        <v>10000</v>
      </c>
      <c r="AK15" s="141">
        <f>((AK16-AK14)/2)+AK14</f>
        <v>854</v>
      </c>
      <c r="AL15" s="7">
        <f t="shared" si="14"/>
        <v>1441.552</v>
      </c>
      <c r="AM15" s="13"/>
      <c r="AN15" s="20">
        <v>35000</v>
      </c>
      <c r="AO15" s="33">
        <v>1331</v>
      </c>
      <c r="AP15" s="7">
        <f t="shared" si="11"/>
        <v>2246.728</v>
      </c>
    </row>
    <row r="16" spans="1:42" ht="12.75">
      <c r="A16" s="13">
        <v>30000</v>
      </c>
      <c r="B16" s="33">
        <v>1265</v>
      </c>
      <c r="C16" s="7">
        <f t="shared" si="0"/>
        <v>2135.3199999999997</v>
      </c>
      <c r="D16" s="13">
        <v>30000</v>
      </c>
      <c r="E16" s="141">
        <f>(((E15-E18)*3)/4)+E18</f>
        <v>1254.75</v>
      </c>
      <c r="F16" s="7">
        <f t="shared" si="12"/>
        <v>2118.018</v>
      </c>
      <c r="G16" s="13">
        <v>30000</v>
      </c>
      <c r="H16" s="141">
        <f>(((H15-H18)*3)/4)+H18</f>
        <v>1203.75</v>
      </c>
      <c r="I16" s="7">
        <f t="shared" si="1"/>
        <v>2031.9299999999998</v>
      </c>
      <c r="J16" s="6">
        <v>15000</v>
      </c>
      <c r="K16" s="33">
        <v>1021</v>
      </c>
      <c r="L16" s="7">
        <f t="shared" si="15"/>
        <v>1723.4479999999999</v>
      </c>
      <c r="N16" s="91" t="s">
        <v>1225</v>
      </c>
      <c r="O16" s="7"/>
      <c r="P16" s="13"/>
      <c r="Q16" s="91" t="s">
        <v>1225</v>
      </c>
      <c r="R16" s="7"/>
      <c r="S16" s="13"/>
      <c r="T16" s="91" t="s">
        <v>1225</v>
      </c>
      <c r="U16" s="7"/>
      <c r="V16" s="20"/>
      <c r="W16" s="33"/>
      <c r="X16" s="7"/>
      <c r="AA16" s="13">
        <v>30000</v>
      </c>
      <c r="AB16" s="7">
        <f t="shared" si="16"/>
        <v>1275</v>
      </c>
      <c r="AC16" s="7">
        <f t="shared" si="7"/>
        <v>2152.2</v>
      </c>
      <c r="AD16" s="13">
        <v>30000</v>
      </c>
      <c r="AE16" s="33">
        <v>1255</v>
      </c>
      <c r="AF16" s="7">
        <f t="shared" si="8"/>
        <v>2118.44</v>
      </c>
      <c r="AG16" s="6">
        <v>15000</v>
      </c>
      <c r="AH16" s="33">
        <v>992</v>
      </c>
      <c r="AI16" s="7">
        <f t="shared" si="9"/>
        <v>1674.4959999999999</v>
      </c>
      <c r="AJ16" s="6">
        <v>5000</v>
      </c>
      <c r="AK16" s="33">
        <v>793</v>
      </c>
      <c r="AL16" s="7">
        <f t="shared" si="14"/>
        <v>1338.584</v>
      </c>
      <c r="AM16" s="20"/>
      <c r="AN16" s="13">
        <v>30000</v>
      </c>
      <c r="AO16" s="33">
        <v>1255</v>
      </c>
      <c r="AP16" s="7">
        <f t="shared" si="11"/>
        <v>2118.44</v>
      </c>
    </row>
    <row r="17" spans="1:42" ht="12.75">
      <c r="A17" s="13">
        <v>20000</v>
      </c>
      <c r="B17" s="33">
        <v>1131</v>
      </c>
      <c r="C17" s="7">
        <f t="shared" si="0"/>
        <v>1909.128</v>
      </c>
      <c r="D17" s="13">
        <v>20000</v>
      </c>
      <c r="E17" s="141">
        <v>1121</v>
      </c>
      <c r="F17" s="7">
        <f t="shared" si="12"/>
        <v>1892.248</v>
      </c>
      <c r="G17" s="13">
        <v>20000</v>
      </c>
      <c r="H17" s="141">
        <f>((H15-H18)/4)+H18</f>
        <v>1111.25</v>
      </c>
      <c r="I17" s="7">
        <f t="shared" si="1"/>
        <v>1875.79</v>
      </c>
      <c r="J17" s="13">
        <v>10000</v>
      </c>
      <c r="K17" s="141">
        <f>((K18-K16)/2)+K16</f>
        <v>955.5</v>
      </c>
      <c r="L17" s="7">
        <f t="shared" si="15"/>
        <v>1612.884</v>
      </c>
      <c r="P17" s="13"/>
      <c r="Q17" s="33"/>
      <c r="R17" s="7"/>
      <c r="S17" s="20"/>
      <c r="T17" s="33"/>
      <c r="U17" s="7"/>
      <c r="V17" s="100"/>
      <c r="X17" s="7"/>
      <c r="AA17" s="13">
        <v>20000</v>
      </c>
      <c r="AB17" s="7">
        <f t="shared" si="16"/>
        <v>1141</v>
      </c>
      <c r="AC17" s="7">
        <f t="shared" si="7"/>
        <v>1926.008</v>
      </c>
      <c r="AD17" s="13">
        <v>20000</v>
      </c>
      <c r="AE17" s="33">
        <v>1121</v>
      </c>
      <c r="AF17" s="7">
        <f t="shared" si="8"/>
        <v>1892.248</v>
      </c>
      <c r="AG17" s="13">
        <v>10000</v>
      </c>
      <c r="AH17" s="141">
        <f>((AH18-AH16)/2)+AH16</f>
        <v>928</v>
      </c>
      <c r="AI17" s="7">
        <f t="shared" si="9"/>
        <v>1566.464</v>
      </c>
      <c r="AJ17" s="100">
        <v>0</v>
      </c>
      <c r="AK17" s="112">
        <f>(807/890)*AK16</f>
        <v>719.0460674157304</v>
      </c>
      <c r="AL17" s="7">
        <f t="shared" si="14"/>
        <v>1213.7497617977529</v>
      </c>
      <c r="AM17" s="13"/>
      <c r="AN17" s="13">
        <v>20000</v>
      </c>
      <c r="AO17" s="33">
        <v>1121</v>
      </c>
      <c r="AP17" s="7">
        <f t="shared" si="11"/>
        <v>1892.248</v>
      </c>
    </row>
    <row r="18" spans="1:42" ht="12.75">
      <c r="A18" s="6">
        <v>15000</v>
      </c>
      <c r="B18" s="33">
        <v>1087</v>
      </c>
      <c r="C18" s="7">
        <f t="shared" si="0"/>
        <v>1834.856</v>
      </c>
      <c r="D18" s="6">
        <v>15000</v>
      </c>
      <c r="E18" s="33">
        <v>1077</v>
      </c>
      <c r="F18" s="7">
        <f t="shared" si="12"/>
        <v>1817.9759999999999</v>
      </c>
      <c r="G18" s="6">
        <v>15000</v>
      </c>
      <c r="H18" s="33">
        <v>1065</v>
      </c>
      <c r="I18" s="7">
        <f t="shared" si="1"/>
        <v>1797.72</v>
      </c>
      <c r="J18" s="6">
        <v>5000</v>
      </c>
      <c r="K18" s="33">
        <v>890</v>
      </c>
      <c r="L18" s="7">
        <f t="shared" si="15"/>
        <v>1502.32</v>
      </c>
      <c r="P18" s="20"/>
      <c r="Q18" s="33"/>
      <c r="R18" s="7"/>
      <c r="S18" s="100"/>
      <c r="U18" s="7"/>
      <c r="AA18" s="6">
        <v>15000</v>
      </c>
      <c r="AB18" s="7">
        <f t="shared" si="16"/>
        <v>1097</v>
      </c>
      <c r="AC18" s="7">
        <f t="shared" si="7"/>
        <v>1851.7359999999999</v>
      </c>
      <c r="AD18" s="6">
        <v>15000</v>
      </c>
      <c r="AE18" s="33">
        <v>1047</v>
      </c>
      <c r="AF18" s="7">
        <f t="shared" si="8"/>
        <v>1767.336</v>
      </c>
      <c r="AG18" s="6">
        <v>5000</v>
      </c>
      <c r="AH18" s="33">
        <v>864</v>
      </c>
      <c r="AI18" s="7">
        <f t="shared" si="9"/>
        <v>1458.432</v>
      </c>
      <c r="AM18" s="20"/>
      <c r="AN18" s="6">
        <v>15000</v>
      </c>
      <c r="AO18" s="33">
        <v>1077</v>
      </c>
      <c r="AP18" s="7">
        <f t="shared" si="11"/>
        <v>1817.9759999999999</v>
      </c>
    </row>
    <row r="19" spans="1:42" ht="12.75">
      <c r="A19" s="13">
        <v>10000</v>
      </c>
      <c r="B19" s="33">
        <v>983</v>
      </c>
      <c r="C19" s="7">
        <f t="shared" si="0"/>
        <v>1659.3039999999999</v>
      </c>
      <c r="D19" s="13">
        <v>10000</v>
      </c>
      <c r="E19" s="33">
        <v>973</v>
      </c>
      <c r="F19" s="7">
        <f t="shared" si="12"/>
        <v>1642.424</v>
      </c>
      <c r="G19" s="13">
        <v>10000</v>
      </c>
      <c r="H19" s="33">
        <v>973</v>
      </c>
      <c r="I19" s="7">
        <f t="shared" si="1"/>
        <v>1642.424</v>
      </c>
      <c r="J19" s="100">
        <v>0</v>
      </c>
      <c r="K19" s="55">
        <v>807</v>
      </c>
      <c r="L19" s="7">
        <f t="shared" si="15"/>
        <v>1362.216</v>
      </c>
      <c r="P19" s="100"/>
      <c r="R19" s="7"/>
      <c r="AA19" s="13">
        <v>10000</v>
      </c>
      <c r="AB19" s="7">
        <f t="shared" si="16"/>
        <v>993</v>
      </c>
      <c r="AC19" s="7">
        <f t="shared" si="7"/>
        <v>1676.184</v>
      </c>
      <c r="AD19" s="13">
        <v>10000</v>
      </c>
      <c r="AE19" s="33">
        <v>973</v>
      </c>
      <c r="AF19" s="7">
        <f t="shared" si="8"/>
        <v>1642.424</v>
      </c>
      <c r="AG19" s="100">
        <v>0</v>
      </c>
      <c r="AH19" s="112">
        <f>(807/890)*AH18</f>
        <v>783.4247191011236</v>
      </c>
      <c r="AI19" s="7">
        <f t="shared" si="9"/>
        <v>1322.4209258426965</v>
      </c>
      <c r="AJ19" s="20"/>
      <c r="AL19" s="7"/>
      <c r="AM19" s="13"/>
      <c r="AN19" s="13">
        <v>10000</v>
      </c>
      <c r="AO19" s="33">
        <v>973</v>
      </c>
      <c r="AP19" s="7">
        <f t="shared" si="11"/>
        <v>1642.424</v>
      </c>
    </row>
    <row r="20" spans="1:45" ht="12.75">
      <c r="A20" s="6">
        <v>5000</v>
      </c>
      <c r="B20" s="33">
        <v>900</v>
      </c>
      <c r="C20" s="7">
        <f t="shared" si="0"/>
        <v>1519.2</v>
      </c>
      <c r="D20" s="6">
        <v>5000</v>
      </c>
      <c r="E20" s="33">
        <v>890</v>
      </c>
      <c r="F20" s="7">
        <f t="shared" si="12"/>
        <v>1502.32</v>
      </c>
      <c r="G20" s="6">
        <v>5000</v>
      </c>
      <c r="H20" s="33">
        <v>890</v>
      </c>
      <c r="I20" s="7">
        <f t="shared" si="1"/>
        <v>1502.32</v>
      </c>
      <c r="J20" s="13"/>
      <c r="L20" s="7"/>
      <c r="N20" s="33"/>
      <c r="O20" s="7"/>
      <c r="V20" s="8"/>
      <c r="AA20" s="6">
        <v>5000</v>
      </c>
      <c r="AB20" s="7">
        <f t="shared" si="16"/>
        <v>910</v>
      </c>
      <c r="AC20" s="7">
        <f t="shared" si="7"/>
        <v>1536.08</v>
      </c>
      <c r="AD20" s="6">
        <v>5000</v>
      </c>
      <c r="AE20" s="33">
        <v>890</v>
      </c>
      <c r="AF20" s="7">
        <f t="shared" si="8"/>
        <v>1502.32</v>
      </c>
      <c r="AG20" s="20"/>
      <c r="AH20" s="91" t="s">
        <v>1225</v>
      </c>
      <c r="AI20" s="7"/>
      <c r="AJ20" s="13"/>
      <c r="AL20" s="7"/>
      <c r="AM20" s="20"/>
      <c r="AN20" s="6">
        <v>5000</v>
      </c>
      <c r="AO20" s="33">
        <v>890</v>
      </c>
      <c r="AP20" s="7">
        <f t="shared" si="11"/>
        <v>1502.32</v>
      </c>
      <c r="AQ20" s="20"/>
      <c r="AR20" s="33"/>
      <c r="AS20" s="7"/>
    </row>
    <row r="21" spans="1:45" ht="12.75">
      <c r="A21" s="100">
        <v>0</v>
      </c>
      <c r="B21" s="55">
        <v>817</v>
      </c>
      <c r="C21" s="7">
        <f t="shared" si="0"/>
        <v>1379.096</v>
      </c>
      <c r="D21" s="100">
        <v>0</v>
      </c>
      <c r="E21" s="55">
        <v>807</v>
      </c>
      <c r="F21" s="7">
        <f t="shared" si="12"/>
        <v>1362.216</v>
      </c>
      <c r="G21" s="100">
        <v>0</v>
      </c>
      <c r="H21" s="55">
        <v>807</v>
      </c>
      <c r="I21" s="7">
        <f t="shared" si="1"/>
        <v>1362.216</v>
      </c>
      <c r="M21" s="100"/>
      <c r="O21" s="7"/>
      <c r="U21" s="8"/>
      <c r="V21" s="22"/>
      <c r="W21" s="22"/>
      <c r="X21" s="8"/>
      <c r="AA21" s="100">
        <v>0</v>
      </c>
      <c r="AB21" s="7">
        <f t="shared" si="16"/>
        <v>827</v>
      </c>
      <c r="AC21" s="7">
        <f t="shared" si="7"/>
        <v>1395.9759999999999</v>
      </c>
      <c r="AD21" s="100">
        <v>0</v>
      </c>
      <c r="AE21" s="55">
        <v>807</v>
      </c>
      <c r="AF21" s="7">
        <f t="shared" si="8"/>
        <v>1362.216</v>
      </c>
      <c r="AJ21" s="20"/>
      <c r="AL21" s="7"/>
      <c r="AM21" s="13"/>
      <c r="AN21" s="100">
        <v>0</v>
      </c>
      <c r="AO21" s="55">
        <v>807</v>
      </c>
      <c r="AP21" s="7">
        <f t="shared" si="11"/>
        <v>1362.216</v>
      </c>
      <c r="AQ21" s="13"/>
      <c r="AR21" s="33"/>
      <c r="AS21" s="7"/>
    </row>
    <row r="22" spans="2:45" ht="12.75">
      <c r="B22" s="91" t="s">
        <v>1216</v>
      </c>
      <c r="D22" s="13"/>
      <c r="E22" s="91" t="s">
        <v>1225</v>
      </c>
      <c r="F22" s="7"/>
      <c r="G22" s="13"/>
      <c r="H22" s="91" t="s">
        <v>1225</v>
      </c>
      <c r="I22" s="7"/>
      <c r="K22" s="91" t="s">
        <v>1225</v>
      </c>
      <c r="R22" s="11"/>
      <c r="U22" s="8"/>
      <c r="V22" s="8"/>
      <c r="W22" s="8"/>
      <c r="X22" s="22"/>
      <c r="AB22" s="7"/>
      <c r="AC22" s="7"/>
      <c r="AD22" s="20"/>
      <c r="AE22" s="91" t="s">
        <v>1225</v>
      </c>
      <c r="AF22" s="7"/>
      <c r="AJ22" s="13"/>
      <c r="AK22" s="91" t="s">
        <v>1225</v>
      </c>
      <c r="AL22" s="7"/>
      <c r="AM22" s="20"/>
      <c r="AO22" s="7"/>
      <c r="AQ22" s="20"/>
      <c r="AR22" s="33"/>
      <c r="AS22" s="7"/>
    </row>
    <row r="23" spans="10:45" ht="12.75">
      <c r="J23" s="100"/>
      <c r="O23" s="105"/>
      <c r="S23" s="55"/>
      <c r="U23" s="8"/>
      <c r="V23" s="7"/>
      <c r="W23" s="7"/>
      <c r="X23" s="8"/>
      <c r="AB23" s="7"/>
      <c r="AC23" s="7"/>
      <c r="AD23" s="13"/>
      <c r="AF23" s="7"/>
      <c r="AG23" s="13"/>
      <c r="AI23" s="7"/>
      <c r="AJ23" s="20"/>
      <c r="AL23" s="7"/>
      <c r="AM23" s="100"/>
      <c r="AO23" s="7"/>
      <c r="AQ23" s="13"/>
      <c r="AR23" s="33"/>
      <c r="AS23" s="7"/>
    </row>
    <row r="24" spans="1:45" ht="12.75">
      <c r="A24" t="s">
        <v>937</v>
      </c>
      <c r="J24" s="25"/>
      <c r="K24" s="25" t="s">
        <v>1237</v>
      </c>
      <c r="N24" s="22"/>
      <c r="O24" s="22"/>
      <c r="R24" s="27"/>
      <c r="S24" s="55"/>
      <c r="U24" s="8"/>
      <c r="V24" s="7"/>
      <c r="W24" s="7"/>
      <c r="X24" s="7"/>
      <c r="AA24" t="s">
        <v>203</v>
      </c>
      <c r="AB24" s="7"/>
      <c r="AC24" s="7"/>
      <c r="AD24" s="20"/>
      <c r="AF24" s="7"/>
      <c r="AG24" s="20"/>
      <c r="AI24" s="7"/>
      <c r="AJ24" s="100"/>
      <c r="AL24" s="7"/>
      <c r="AQ24" s="20"/>
      <c r="AR24" s="33"/>
      <c r="AS24" s="7"/>
    </row>
    <row r="25" spans="10:45" ht="12.75">
      <c r="J25" s="25"/>
      <c r="N25" s="8"/>
      <c r="O25" s="8"/>
      <c r="R25" s="27"/>
      <c r="U25" s="8"/>
      <c r="V25" s="7"/>
      <c r="W25" s="7"/>
      <c r="X25" s="8"/>
      <c r="AA25" t="s">
        <v>204</v>
      </c>
      <c r="AB25" s="7"/>
      <c r="AC25" s="7"/>
      <c r="AD25" s="100"/>
      <c r="AF25" s="7"/>
      <c r="AG25" s="100"/>
      <c r="AI25" s="7"/>
      <c r="AQ25" s="100"/>
      <c r="AS25" s="7"/>
    </row>
    <row r="26" spans="1:27" ht="12.75">
      <c r="A26" t="s">
        <v>1231</v>
      </c>
      <c r="J26" s="25"/>
      <c r="K26" t="s">
        <v>1101</v>
      </c>
      <c r="L26" s="7"/>
      <c r="N26" t="s">
        <v>1100</v>
      </c>
      <c r="U26" s="8"/>
      <c r="V26" s="7"/>
      <c r="W26" s="7"/>
      <c r="X26" s="8"/>
      <c r="AA26" t="s">
        <v>205</v>
      </c>
    </row>
    <row r="27" spans="1:24" ht="12.75">
      <c r="A27" t="s">
        <v>1232</v>
      </c>
      <c r="J27" s="25"/>
      <c r="K27" s="82" t="s">
        <v>1097</v>
      </c>
      <c r="L27" s="27"/>
      <c r="N27" t="s">
        <v>1175</v>
      </c>
      <c r="U27" s="8"/>
      <c r="V27" s="7"/>
      <c r="W27" s="7"/>
      <c r="X27" s="8"/>
    </row>
    <row r="28" spans="1:24" ht="12.75">
      <c r="A28" s="33" t="s">
        <v>1233</v>
      </c>
      <c r="J28" s="25"/>
      <c r="K28" t="s">
        <v>1098</v>
      </c>
      <c r="L28" s="27"/>
      <c r="N28" t="s">
        <v>1099</v>
      </c>
      <c r="U28" s="8"/>
      <c r="V28" s="7"/>
      <c r="W28" s="7"/>
      <c r="X28" s="8"/>
    </row>
    <row r="29" spans="1:24" ht="12.75">
      <c r="A29" s="35"/>
      <c r="J29" s="25"/>
      <c r="U29" s="8"/>
      <c r="V29" s="7"/>
      <c r="W29" s="7"/>
      <c r="X29" s="8"/>
    </row>
    <row r="30" spans="1:24" ht="12.75">
      <c r="A30" t="s">
        <v>715</v>
      </c>
      <c r="J30" s="25"/>
      <c r="U30" s="8"/>
      <c r="V30" s="7"/>
      <c r="W30" s="7"/>
      <c r="X30" s="8"/>
    </row>
    <row r="32" spans="9:24" ht="12.75">
      <c r="I32" s="1" t="s">
        <v>699</v>
      </c>
      <c r="J32" s="25"/>
      <c r="L32" s="11" t="s">
        <v>1078</v>
      </c>
      <c r="M32" s="11" t="s">
        <v>1079</v>
      </c>
      <c r="N32" s="11" t="s">
        <v>1080</v>
      </c>
      <c r="P32" s="27"/>
      <c r="Q32" s="55"/>
      <c r="T32" s="25"/>
      <c r="U32" s="25"/>
      <c r="V32" s="7"/>
      <c r="W32" s="7"/>
      <c r="X32" s="8"/>
    </row>
    <row r="33" spans="12:24" ht="12.75">
      <c r="L33" s="40"/>
      <c r="M33" s="40"/>
      <c r="N33" s="40"/>
      <c r="T33" s="92"/>
      <c r="U33" s="25"/>
      <c r="X33" s="8"/>
    </row>
    <row r="34" spans="12:24" ht="12.75">
      <c r="L34" s="27" t="s">
        <v>1130</v>
      </c>
      <c r="M34" s="39" t="s">
        <v>1104</v>
      </c>
      <c r="N34" s="39" t="s">
        <v>1141</v>
      </c>
      <c r="O34" s="34" t="s">
        <v>805</v>
      </c>
      <c r="P34" s="24" t="s">
        <v>1103</v>
      </c>
      <c r="T34" s="8"/>
      <c r="U34" s="8"/>
      <c r="X34" s="8"/>
    </row>
    <row r="35" spans="10:22" ht="12.75">
      <c r="J35" s="25"/>
      <c r="L35" s="27" t="s">
        <v>1131</v>
      </c>
      <c r="M35" s="39" t="s">
        <v>1122</v>
      </c>
      <c r="N35" s="39" t="s">
        <v>1122</v>
      </c>
      <c r="O35" s="34" t="s">
        <v>1102</v>
      </c>
      <c r="P35" s="80"/>
      <c r="V35" s="25"/>
    </row>
    <row r="36" spans="10:22" ht="12.75">
      <c r="J36" s="25"/>
      <c r="L36" s="27" t="s">
        <v>1131</v>
      </c>
      <c r="M36" s="69" t="s">
        <v>1123</v>
      </c>
      <c r="N36" s="69" t="s">
        <v>1123</v>
      </c>
      <c r="O36" s="34" t="s">
        <v>1111</v>
      </c>
      <c r="V36" s="25"/>
    </row>
    <row r="37" spans="10:22" ht="12.75">
      <c r="J37" s="25"/>
      <c r="L37" s="120" t="s">
        <v>1132</v>
      </c>
      <c r="M37" s="23" t="s">
        <v>1124</v>
      </c>
      <c r="N37" s="23" t="s">
        <v>1156</v>
      </c>
      <c r="T37" s="25"/>
      <c r="U37" s="25"/>
      <c r="V37" s="25"/>
    </row>
    <row r="38" spans="12:22" ht="12.75">
      <c r="L38" s="27"/>
      <c r="M38" s="39"/>
      <c r="N38" s="39"/>
      <c r="T38" s="40"/>
      <c r="U38" s="25"/>
      <c r="V38" s="25"/>
    </row>
    <row r="39" spans="10:22" ht="12.75">
      <c r="J39" s="25"/>
      <c r="L39" s="60">
        <v>2365</v>
      </c>
      <c r="M39" s="60">
        <v>2385.3</v>
      </c>
      <c r="N39" s="60">
        <v>2385.3</v>
      </c>
      <c r="O39" t="s">
        <v>792</v>
      </c>
      <c r="P39" s="8"/>
      <c r="T39" s="25"/>
      <c r="U39" s="25"/>
      <c r="V39" s="7"/>
    </row>
    <row r="40" spans="10:21" ht="12.75">
      <c r="J40" s="25"/>
      <c r="L40" s="72">
        <f>L39*6.5</f>
        <v>15372.5</v>
      </c>
      <c r="M40" s="72">
        <f>M39*6.5</f>
        <v>15504.45</v>
      </c>
      <c r="N40" s="72">
        <f>N39*6.5</f>
        <v>15504.45</v>
      </c>
      <c r="O40" t="s">
        <v>542</v>
      </c>
      <c r="P40" s="8"/>
      <c r="Q40" s="24" t="s">
        <v>1081</v>
      </c>
      <c r="T40" s="25"/>
      <c r="U40" s="25"/>
    </row>
    <row r="41" spans="10:17" ht="12.75">
      <c r="J41" s="25"/>
      <c r="L41" s="72">
        <f>L39*6.8</f>
        <v>16082</v>
      </c>
      <c r="M41" s="72">
        <f>M39*6.8</f>
        <v>16220.04</v>
      </c>
      <c r="N41" s="72">
        <f>N39*6.8</f>
        <v>16220.04</v>
      </c>
      <c r="O41" t="s">
        <v>791</v>
      </c>
      <c r="P41" s="8"/>
      <c r="Q41" s="24" t="s">
        <v>1082</v>
      </c>
    </row>
    <row r="42" spans="10:22" ht="12.75">
      <c r="J42" s="25"/>
      <c r="L42" s="120" t="s">
        <v>1134</v>
      </c>
      <c r="M42" s="23" t="s">
        <v>1115</v>
      </c>
      <c r="N42" s="23" t="s">
        <v>1153</v>
      </c>
      <c r="Q42" s="24" t="s">
        <v>1113</v>
      </c>
      <c r="V42" s="25"/>
    </row>
    <row r="43" spans="12:22" ht="12.75">
      <c r="L43" s="27"/>
      <c r="M43" s="27"/>
      <c r="N43" s="27"/>
      <c r="V43" s="25"/>
    </row>
    <row r="44" spans="10:22" ht="12.75">
      <c r="J44" s="25"/>
      <c r="L44" s="79">
        <v>2895</v>
      </c>
      <c r="M44" s="79">
        <v>2919</v>
      </c>
      <c r="N44" s="79">
        <v>2919</v>
      </c>
      <c r="O44" t="s">
        <v>1114</v>
      </c>
      <c r="V44" s="25"/>
    </row>
    <row r="45" spans="10:22" ht="12.75">
      <c r="J45" s="25"/>
      <c r="L45" s="72">
        <f>L44*6.5</f>
        <v>18817.5</v>
      </c>
      <c r="M45" s="72">
        <f>M44*6.5</f>
        <v>18973.5</v>
      </c>
      <c r="N45" s="72">
        <f>N44*6.5</f>
        <v>18973.5</v>
      </c>
      <c r="O45" t="s">
        <v>542</v>
      </c>
      <c r="P45" s="8"/>
      <c r="V45" s="25"/>
    </row>
    <row r="46" spans="10:17" ht="12.75">
      <c r="J46" s="25"/>
      <c r="L46" s="72">
        <f>L44*6.8</f>
        <v>19686</v>
      </c>
      <c r="M46" s="72">
        <f>M44*6.8</f>
        <v>19849.2</v>
      </c>
      <c r="N46" s="72">
        <f>N44*6.8</f>
        <v>19849.2</v>
      </c>
      <c r="O46" t="s">
        <v>791</v>
      </c>
      <c r="P46" s="8"/>
      <c r="Q46" s="25"/>
    </row>
    <row r="47" spans="10:16" ht="12.75">
      <c r="J47" s="25"/>
      <c r="L47" s="120" t="s">
        <v>1134</v>
      </c>
      <c r="M47" s="23" t="s">
        <v>1115</v>
      </c>
      <c r="N47" s="23" t="s">
        <v>1153</v>
      </c>
      <c r="P47" s="8"/>
    </row>
    <row r="48" spans="10:15" ht="12.75">
      <c r="J48" s="25"/>
      <c r="L48" s="27"/>
      <c r="M48" s="27"/>
      <c r="N48" s="27"/>
      <c r="O48" s="14" t="s">
        <v>1193</v>
      </c>
    </row>
    <row r="49" spans="10:15" ht="12.75">
      <c r="J49" s="25"/>
      <c r="L49" s="27"/>
      <c r="M49" s="27" t="s">
        <v>1192</v>
      </c>
      <c r="N49" s="27" t="s">
        <v>1192</v>
      </c>
      <c r="O49" s="35" t="s">
        <v>1191</v>
      </c>
    </row>
    <row r="50" spans="10:15" ht="12.75">
      <c r="J50" s="25"/>
      <c r="L50" s="27"/>
      <c r="M50" s="27" t="s">
        <v>1195</v>
      </c>
      <c r="N50" s="27" t="s">
        <v>1195</v>
      </c>
      <c r="O50" s="35" t="s">
        <v>1194</v>
      </c>
    </row>
    <row r="51" spans="10:15" ht="12.75">
      <c r="J51" s="25"/>
      <c r="L51" s="27"/>
      <c r="M51" s="27" t="s">
        <v>832</v>
      </c>
      <c r="N51" s="27" t="s">
        <v>832</v>
      </c>
      <c r="O51" s="35" t="s">
        <v>1196</v>
      </c>
    </row>
    <row r="52" spans="10:15" ht="12.75">
      <c r="J52" s="25"/>
      <c r="M52" s="27" t="s">
        <v>1198</v>
      </c>
      <c r="N52" s="27" t="s">
        <v>1198</v>
      </c>
      <c r="O52" s="35" t="s">
        <v>1197</v>
      </c>
    </row>
    <row r="53" spans="12:14" ht="12.75">
      <c r="L53" s="27"/>
      <c r="M53" s="91" t="s">
        <v>1199</v>
      </c>
      <c r="N53" s="91" t="s">
        <v>1199</v>
      </c>
    </row>
    <row r="54" spans="9:15" ht="12.75">
      <c r="I54" s="1" t="s">
        <v>700</v>
      </c>
      <c r="L54" s="27"/>
      <c r="O54" s="14" t="s">
        <v>476</v>
      </c>
    </row>
    <row r="55" spans="10:16" ht="12.75">
      <c r="J55" s="25"/>
      <c r="L55" s="23"/>
      <c r="M55" s="39" t="s">
        <v>1220</v>
      </c>
      <c r="N55" s="39" t="s">
        <v>1220</v>
      </c>
      <c r="O55" s="27" t="s">
        <v>705</v>
      </c>
      <c r="P55" t="s">
        <v>484</v>
      </c>
    </row>
    <row r="56" spans="10:15" ht="12.75">
      <c r="J56" s="25"/>
      <c r="L56" s="27"/>
      <c r="M56" s="39" t="s">
        <v>1219</v>
      </c>
      <c r="N56" s="39" t="s">
        <v>1219</v>
      </c>
      <c r="O56" s="27" t="s">
        <v>1207</v>
      </c>
    </row>
    <row r="57" spans="10:15" ht="12.75">
      <c r="J57" s="25"/>
      <c r="L57" s="27"/>
      <c r="M57" s="39" t="s">
        <v>1218</v>
      </c>
      <c r="N57" s="39" t="s">
        <v>1218</v>
      </c>
      <c r="O57" s="27" t="s">
        <v>1206</v>
      </c>
    </row>
    <row r="58" spans="10:15" ht="12.75">
      <c r="J58" s="25"/>
      <c r="L58" s="27"/>
      <c r="M58" s="39" t="s">
        <v>1221</v>
      </c>
      <c r="N58" s="39" t="s">
        <v>1221</v>
      </c>
      <c r="O58" s="27" t="s">
        <v>1205</v>
      </c>
    </row>
    <row r="59" spans="10:18" ht="12.75">
      <c r="J59" s="25"/>
      <c r="L59" s="27"/>
      <c r="M59" s="39" t="s">
        <v>1222</v>
      </c>
      <c r="N59" s="39" t="s">
        <v>1222</v>
      </c>
      <c r="O59" s="27" t="s">
        <v>806</v>
      </c>
      <c r="Q59" s="39"/>
      <c r="R59" s="71"/>
    </row>
    <row r="60" spans="10:15" ht="12.75">
      <c r="J60" s="25"/>
      <c r="L60" s="23"/>
      <c r="M60" s="39" t="s">
        <v>1223</v>
      </c>
      <c r="N60" s="39" t="s">
        <v>1223</v>
      </c>
      <c r="O60" s="27" t="s">
        <v>1208</v>
      </c>
    </row>
    <row r="61" spans="10:15" ht="12.75">
      <c r="J61" s="25"/>
      <c r="M61" s="39" t="s">
        <v>1224</v>
      </c>
      <c r="N61" s="39" t="s">
        <v>1224</v>
      </c>
      <c r="O61" s="27" t="s">
        <v>930</v>
      </c>
    </row>
    <row r="62" spans="10:14" ht="12.75">
      <c r="J62" s="25"/>
      <c r="M62" s="91" t="s">
        <v>1216</v>
      </c>
      <c r="N62" s="91" t="s">
        <v>1216</v>
      </c>
    </row>
    <row r="63" spans="10:15" ht="12.75">
      <c r="J63" s="25"/>
      <c r="N63" s="27"/>
      <c r="O63" s="14" t="s">
        <v>1204</v>
      </c>
    </row>
    <row r="64" spans="10:16" ht="12.75">
      <c r="J64" s="25"/>
      <c r="L64" s="27"/>
      <c r="M64" s="39" t="s">
        <v>1210</v>
      </c>
      <c r="N64" s="39" t="s">
        <v>1210</v>
      </c>
      <c r="O64" s="27" t="s">
        <v>705</v>
      </c>
      <c r="P64" t="s">
        <v>484</v>
      </c>
    </row>
    <row r="65" spans="10:15" ht="12.75">
      <c r="J65" s="25"/>
      <c r="L65" s="27"/>
      <c r="M65" s="39" t="s">
        <v>1211</v>
      </c>
      <c r="N65" s="39" t="s">
        <v>1211</v>
      </c>
      <c r="O65" s="27" t="s">
        <v>1207</v>
      </c>
    </row>
    <row r="66" spans="10:15" ht="12.75">
      <c r="J66" s="25"/>
      <c r="L66" s="23"/>
      <c r="M66" s="39" t="s">
        <v>1212</v>
      </c>
      <c r="N66" s="39" t="s">
        <v>1212</v>
      </c>
      <c r="O66" s="27" t="s">
        <v>1206</v>
      </c>
    </row>
    <row r="67" spans="10:15" ht="12.75">
      <c r="J67" s="25"/>
      <c r="L67" s="27"/>
      <c r="M67" s="39" t="s">
        <v>1209</v>
      </c>
      <c r="N67" s="39" t="s">
        <v>1209</v>
      </c>
      <c r="O67" s="27" t="s">
        <v>1205</v>
      </c>
    </row>
    <row r="68" spans="10:15" ht="12.75">
      <c r="J68" s="25"/>
      <c r="L68" s="27"/>
      <c r="M68" s="39" t="s">
        <v>1213</v>
      </c>
      <c r="N68" s="39" t="s">
        <v>1213</v>
      </c>
      <c r="O68" s="27" t="s">
        <v>806</v>
      </c>
    </row>
    <row r="69" spans="10:15" ht="12.75">
      <c r="J69" s="25"/>
      <c r="L69" s="27"/>
      <c r="M69" s="39" t="s">
        <v>1214</v>
      </c>
      <c r="N69" s="39" t="s">
        <v>1214</v>
      </c>
      <c r="O69" s="27" t="s">
        <v>1208</v>
      </c>
    </row>
    <row r="70" spans="10:15" ht="12.75">
      <c r="J70" s="25"/>
      <c r="L70" s="27"/>
      <c r="M70" s="39" t="s">
        <v>1215</v>
      </c>
      <c r="N70" s="39" t="s">
        <v>1215</v>
      </c>
      <c r="O70" s="27" t="s">
        <v>930</v>
      </c>
    </row>
    <row r="71" spans="10:15" ht="12.75">
      <c r="J71" s="25"/>
      <c r="L71" s="23"/>
      <c r="M71" s="91" t="s">
        <v>1216</v>
      </c>
      <c r="N71" s="91" t="s">
        <v>1216</v>
      </c>
      <c r="O71" s="27"/>
    </row>
    <row r="72" spans="10:18" ht="12.75">
      <c r="J72" s="25"/>
      <c r="L72" s="27"/>
      <c r="M72" s="39"/>
      <c r="N72" s="27"/>
      <c r="O72" s="14" t="s">
        <v>1139</v>
      </c>
      <c r="R72" s="110"/>
    </row>
    <row r="73" spans="10:18" ht="12.75">
      <c r="J73" s="25"/>
      <c r="L73" s="27"/>
      <c r="M73" s="27" t="s">
        <v>1203</v>
      </c>
      <c r="N73" s="27" t="s">
        <v>1203</v>
      </c>
      <c r="O73" t="s">
        <v>1135</v>
      </c>
      <c r="P73" s="110" t="s">
        <v>1137</v>
      </c>
      <c r="Q73" s="74" t="s">
        <v>1227</v>
      </c>
      <c r="R73" s="110"/>
    </row>
    <row r="74" spans="10:18" ht="12.75">
      <c r="J74" s="25"/>
      <c r="L74" s="27" t="s">
        <v>1201</v>
      </c>
      <c r="M74" s="27" t="s">
        <v>1202</v>
      </c>
      <c r="N74" s="27" t="s">
        <v>1202</v>
      </c>
      <c r="O74" t="s">
        <v>1136</v>
      </c>
      <c r="P74" s="110" t="s">
        <v>1138</v>
      </c>
      <c r="R74" s="110"/>
    </row>
    <row r="75" spans="9:14" ht="12.75">
      <c r="I75" s="1" t="s">
        <v>701</v>
      </c>
      <c r="J75" s="25"/>
      <c r="L75" s="120" t="s">
        <v>1140</v>
      </c>
      <c r="M75" s="91" t="s">
        <v>1200</v>
      </c>
      <c r="N75" s="91" t="s">
        <v>1200</v>
      </c>
    </row>
    <row r="76" spans="10:14" ht="12.75">
      <c r="J76" s="25"/>
      <c r="N76" s="27"/>
    </row>
    <row r="77" spans="10:15" ht="12.75">
      <c r="J77" s="25"/>
      <c r="L77" s="27"/>
      <c r="O77" s="14" t="s">
        <v>1142</v>
      </c>
    </row>
    <row r="78" spans="10:15" ht="12.75">
      <c r="J78" s="25"/>
      <c r="L78" s="23"/>
      <c r="M78" s="27" t="s">
        <v>1120</v>
      </c>
      <c r="N78" s="27" t="s">
        <v>1120</v>
      </c>
      <c r="O78" t="s">
        <v>1144</v>
      </c>
    </row>
    <row r="79" spans="10:15" ht="12.75">
      <c r="J79" s="25"/>
      <c r="M79" s="27" t="s">
        <v>1143</v>
      </c>
      <c r="N79" s="27" t="s">
        <v>1143</v>
      </c>
      <c r="O79" t="s">
        <v>1145</v>
      </c>
    </row>
    <row r="80" spans="10:14" ht="12.75">
      <c r="J80" s="25"/>
      <c r="M80" s="23" t="s">
        <v>1121</v>
      </c>
      <c r="N80" s="23" t="s">
        <v>1107</v>
      </c>
    </row>
    <row r="81" ht="12.75">
      <c r="J81" s="25"/>
    </row>
    <row r="82" spans="10:15" ht="12.75">
      <c r="J82" s="25"/>
      <c r="O82" s="14" t="s">
        <v>1157</v>
      </c>
    </row>
    <row r="83" spans="10:15" ht="12.75">
      <c r="J83" s="25"/>
      <c r="L83" s="27"/>
      <c r="M83" s="27"/>
      <c r="N83" s="27" t="s">
        <v>1160</v>
      </c>
      <c r="O83" t="s">
        <v>1158</v>
      </c>
    </row>
    <row r="84" spans="12:15" ht="12.75">
      <c r="L84" s="27"/>
      <c r="M84" s="27"/>
      <c r="N84" s="27"/>
      <c r="O84" t="s">
        <v>1159</v>
      </c>
    </row>
    <row r="85" spans="12:14" ht="12.75">
      <c r="L85" s="23"/>
      <c r="M85" s="23"/>
      <c r="N85" s="23" t="s">
        <v>1161</v>
      </c>
    </row>
    <row r="86" ht="12.75">
      <c r="M86" s="27"/>
    </row>
    <row r="87" spans="12:15" ht="12.75">
      <c r="L87" s="27"/>
      <c r="M87" s="27" t="s">
        <v>1116</v>
      </c>
      <c r="N87" s="27" t="s">
        <v>1116</v>
      </c>
      <c r="O87" t="s">
        <v>541</v>
      </c>
    </row>
    <row r="88" spans="12:14" ht="12.75">
      <c r="L88" s="23"/>
      <c r="M88" s="23" t="s">
        <v>1117</v>
      </c>
      <c r="N88" s="23" t="s">
        <v>1154</v>
      </c>
    </row>
    <row r="89" ht="12.75">
      <c r="M89" s="27"/>
    </row>
    <row r="90" spans="12:15" ht="12.75">
      <c r="L90" s="68"/>
      <c r="M90" s="68" t="s">
        <v>1118</v>
      </c>
      <c r="N90" s="68" t="s">
        <v>1118</v>
      </c>
      <c r="O90" s="55" t="s">
        <v>852</v>
      </c>
    </row>
    <row r="91" spans="12:14" ht="12.75">
      <c r="L91" s="23"/>
      <c r="M91" s="23" t="s">
        <v>1119</v>
      </c>
      <c r="N91" s="23" t="s">
        <v>1155</v>
      </c>
    </row>
    <row r="92" spans="13:15" ht="12.75">
      <c r="M92" s="27"/>
      <c r="O92" s="14" t="s">
        <v>1217</v>
      </c>
    </row>
    <row r="93" spans="12:15" ht="12.75">
      <c r="L93" s="27" t="s">
        <v>1106</v>
      </c>
      <c r="M93" s="27" t="s">
        <v>1106</v>
      </c>
      <c r="N93" s="27" t="s">
        <v>1147</v>
      </c>
      <c r="O93" t="s">
        <v>553</v>
      </c>
    </row>
    <row r="94" spans="13:14" ht="12.75">
      <c r="M94" s="23" t="s">
        <v>1107</v>
      </c>
      <c r="N94" s="23" t="s">
        <v>1146</v>
      </c>
    </row>
    <row r="95" ht="12.75">
      <c r="M95" s="27"/>
    </row>
    <row r="96" spans="9:17" ht="12.75">
      <c r="I96" s="1"/>
      <c r="N96" s="27" t="s">
        <v>270</v>
      </c>
      <c r="O96" t="s">
        <v>1148</v>
      </c>
      <c r="Q96" s="25" t="s">
        <v>1228</v>
      </c>
    </row>
    <row r="97" spans="9:14" ht="12.75">
      <c r="I97" s="1" t="s">
        <v>702</v>
      </c>
      <c r="N97" s="23" t="s">
        <v>1146</v>
      </c>
    </row>
    <row r="99" spans="13:17" ht="12.75">
      <c r="M99" s="27" t="s">
        <v>270</v>
      </c>
      <c r="N99" s="27" t="s">
        <v>270</v>
      </c>
      <c r="O99" t="s">
        <v>1162</v>
      </c>
      <c r="Q99" s="25" t="s">
        <v>1229</v>
      </c>
    </row>
    <row r="100" ht="12.75">
      <c r="M100" s="23" t="s">
        <v>1107</v>
      </c>
    </row>
    <row r="101" spans="12:18" ht="12.75">
      <c r="L101" s="27"/>
      <c r="M101" s="27"/>
      <c r="O101" s="14" t="s">
        <v>1150</v>
      </c>
      <c r="R101" s="25"/>
    </row>
    <row r="102" spans="12:18" ht="12.75">
      <c r="L102" s="39" t="s">
        <v>1172</v>
      </c>
      <c r="M102" s="39" t="s">
        <v>1172</v>
      </c>
      <c r="N102" s="39" t="s">
        <v>1172</v>
      </c>
      <c r="O102" t="s">
        <v>1151</v>
      </c>
      <c r="R102" s="25"/>
    </row>
    <row r="103" spans="12:18" ht="12.75">
      <c r="L103" s="39" t="s">
        <v>1105</v>
      </c>
      <c r="M103" s="39" t="s">
        <v>1105</v>
      </c>
      <c r="N103" s="39" t="s">
        <v>1105</v>
      </c>
      <c r="R103" s="110"/>
    </row>
    <row r="104" spans="12:18" ht="12.75">
      <c r="L104" s="23" t="s">
        <v>808</v>
      </c>
      <c r="M104" s="23" t="s">
        <v>1107</v>
      </c>
      <c r="N104" s="23" t="s">
        <v>1146</v>
      </c>
      <c r="R104" s="121"/>
    </row>
    <row r="105" spans="12:18" ht="12.75">
      <c r="L105" s="25"/>
      <c r="M105" s="40"/>
      <c r="N105" s="25"/>
      <c r="R105" s="25"/>
    </row>
    <row r="106" spans="14:15" ht="12.75">
      <c r="N106" s="27" t="s">
        <v>1152</v>
      </c>
      <c r="O106" t="s">
        <v>1149</v>
      </c>
    </row>
    <row r="107" ht="12.75">
      <c r="N107" s="23" t="s">
        <v>1146</v>
      </c>
    </row>
    <row r="109" spans="12:15" ht="12.75">
      <c r="L109" s="39" t="s">
        <v>1226</v>
      </c>
      <c r="M109" s="40" t="s">
        <v>1108</v>
      </c>
      <c r="N109" s="39" t="s">
        <v>1036</v>
      </c>
      <c r="O109" t="s">
        <v>1125</v>
      </c>
    </row>
    <row r="110" spans="12:14" ht="12.75">
      <c r="L110" s="23" t="s">
        <v>808</v>
      </c>
      <c r="M110" s="23" t="s">
        <v>1107</v>
      </c>
      <c r="N110" s="23" t="s">
        <v>1146</v>
      </c>
    </row>
    <row r="111" spans="12:14" ht="12.75">
      <c r="L111" s="23"/>
      <c r="M111" s="23"/>
      <c r="N111" s="23"/>
    </row>
    <row r="112" spans="12:16" ht="12.75">
      <c r="L112" s="40"/>
      <c r="O112" s="11" t="s">
        <v>786</v>
      </c>
      <c r="P112" t="s">
        <v>866</v>
      </c>
    </row>
    <row r="113" spans="12:14" ht="12.75">
      <c r="L113" s="58" t="s">
        <v>1096</v>
      </c>
      <c r="M113" s="73" t="s">
        <v>1083</v>
      </c>
      <c r="N113" s="73" t="s">
        <v>1083</v>
      </c>
    </row>
    <row r="114" spans="12:14" ht="12.75">
      <c r="L114" s="23" t="s">
        <v>874</v>
      </c>
      <c r="M114" s="23" t="s">
        <v>874</v>
      </c>
      <c r="N114" s="23" t="s">
        <v>874</v>
      </c>
    </row>
    <row r="115" spans="12:17" ht="12.75">
      <c r="L115" s="79">
        <v>21600</v>
      </c>
      <c r="M115" s="79">
        <v>29392</v>
      </c>
      <c r="N115" s="79">
        <v>29392</v>
      </c>
      <c r="O115" s="27" t="s">
        <v>867</v>
      </c>
      <c r="P115" s="34" t="s">
        <v>875</v>
      </c>
      <c r="Q115" s="25" t="s">
        <v>1235</v>
      </c>
    </row>
    <row r="116" spans="11:17" ht="12.75">
      <c r="K116" s="24"/>
      <c r="L116" s="39">
        <v>0.631</v>
      </c>
      <c r="M116" s="39">
        <v>0.576</v>
      </c>
      <c r="N116" s="39">
        <v>0.576</v>
      </c>
      <c r="O116" s="27" t="s">
        <v>784</v>
      </c>
      <c r="Q116" s="24" t="s">
        <v>1234</v>
      </c>
    </row>
    <row r="117" spans="12:16" ht="12.75">
      <c r="L117" s="31">
        <f>(L115*L116)/3600</f>
        <v>3.786</v>
      </c>
      <c r="M117" s="31">
        <f>(M115*M116)/3600</f>
        <v>4.702719999999999</v>
      </c>
      <c r="N117" s="31">
        <f>(N115*N116)/3600</f>
        <v>4.702719999999999</v>
      </c>
      <c r="O117" s="27" t="s">
        <v>868</v>
      </c>
      <c r="P117" s="34" t="s">
        <v>876</v>
      </c>
    </row>
    <row r="118" spans="9:15" ht="12.75">
      <c r="I118" s="1" t="s">
        <v>706</v>
      </c>
      <c r="L118" s="40"/>
      <c r="M118" s="40"/>
      <c r="O118" s="27"/>
    </row>
    <row r="119" spans="12:17" ht="12.75">
      <c r="L119" s="79">
        <v>41800</v>
      </c>
      <c r="M119" s="79">
        <v>53900</v>
      </c>
      <c r="N119" s="79">
        <v>53900</v>
      </c>
      <c r="O119" s="27" t="s">
        <v>144</v>
      </c>
      <c r="P119" s="34" t="s">
        <v>875</v>
      </c>
      <c r="Q119" s="25" t="s">
        <v>1236</v>
      </c>
    </row>
    <row r="120" spans="11:17" ht="12.75">
      <c r="K120" s="24"/>
      <c r="L120" s="39">
        <v>2.78</v>
      </c>
      <c r="M120" s="81">
        <v>2.104</v>
      </c>
      <c r="N120" s="81">
        <v>2.104</v>
      </c>
      <c r="O120" s="27" t="s">
        <v>784</v>
      </c>
      <c r="Q120" s="24" t="s">
        <v>1234</v>
      </c>
    </row>
    <row r="121" spans="12:16" ht="12.75">
      <c r="L121" s="31">
        <f>(L119*L120)/3600</f>
        <v>32.278888888888886</v>
      </c>
      <c r="M121" s="31">
        <f>(M119*M120)/3600</f>
        <v>31.50155555555556</v>
      </c>
      <c r="N121" s="31">
        <f>(N119*N120)/3600</f>
        <v>31.50155555555556</v>
      </c>
      <c r="O121" s="27" t="s">
        <v>868</v>
      </c>
      <c r="P121" s="34" t="s">
        <v>876</v>
      </c>
    </row>
    <row r="122" spans="12:15" ht="12.75">
      <c r="L122" s="120" t="s">
        <v>1133</v>
      </c>
      <c r="M122" s="23" t="s">
        <v>1112</v>
      </c>
      <c r="N122" s="23" t="s">
        <v>1112</v>
      </c>
      <c r="O122" s="27"/>
    </row>
    <row r="123" spans="12:14" ht="12.75">
      <c r="L123" s="128"/>
      <c r="M123" s="24"/>
      <c r="N123" s="24"/>
    </row>
    <row r="125" ht="12.75">
      <c r="O125" s="11" t="s">
        <v>799</v>
      </c>
    </row>
    <row r="127" spans="12:17" ht="12.75">
      <c r="L127" s="27" t="s">
        <v>1093</v>
      </c>
      <c r="M127" s="27" t="s">
        <v>1093</v>
      </c>
      <c r="N127" s="27" t="s">
        <v>1093</v>
      </c>
      <c r="O127" t="s">
        <v>454</v>
      </c>
      <c r="Q127" s="25" t="s">
        <v>457</v>
      </c>
    </row>
    <row r="128" spans="12:17" ht="12.75">
      <c r="L128" s="40" t="s">
        <v>1094</v>
      </c>
      <c r="M128" s="40" t="s">
        <v>1094</v>
      </c>
      <c r="N128" s="40" t="s">
        <v>1094</v>
      </c>
      <c r="Q128" s="74" t="s">
        <v>1164</v>
      </c>
    </row>
    <row r="129" spans="12:17" ht="12.75">
      <c r="L129" s="23"/>
      <c r="M129" s="23"/>
      <c r="N129" s="23"/>
      <c r="Q129" s="25" t="s">
        <v>1165</v>
      </c>
    </row>
    <row r="131" ht="12.75">
      <c r="O131" s="11" t="s">
        <v>1084</v>
      </c>
    </row>
    <row r="132" spans="15:17" ht="12.75">
      <c r="O132" s="23"/>
      <c r="Q132" s="24"/>
    </row>
    <row r="133" spans="12:17" ht="12.75">
      <c r="L133" s="24" t="s">
        <v>1091</v>
      </c>
      <c r="Q133" s="24"/>
    </row>
    <row r="135" spans="11:20" ht="12.75">
      <c r="K135" s="39"/>
      <c r="L135" s="39" t="s">
        <v>1092</v>
      </c>
      <c r="M135" s="39" t="s">
        <v>1087</v>
      </c>
      <c r="N135" s="39" t="s">
        <v>146</v>
      </c>
      <c r="O135" s="39" t="s">
        <v>1086</v>
      </c>
      <c r="P135" s="39"/>
      <c r="Q135" s="55"/>
      <c r="T135" s="93"/>
    </row>
    <row r="136" spans="11:20" ht="12.75">
      <c r="K136" s="32"/>
      <c r="L136" s="32" t="s">
        <v>75</v>
      </c>
      <c r="M136" s="32" t="s">
        <v>75</v>
      </c>
      <c r="N136" s="32" t="s">
        <v>75</v>
      </c>
      <c r="O136" s="32" t="s">
        <v>75</v>
      </c>
      <c r="P136" s="32" t="s">
        <v>70</v>
      </c>
      <c r="Q136" s="58" t="s">
        <v>79</v>
      </c>
      <c r="R136" s="32" t="s">
        <v>400</v>
      </c>
      <c r="S136" s="32" t="s">
        <v>399</v>
      </c>
      <c r="T136" s="32" t="s">
        <v>596</v>
      </c>
    </row>
    <row r="137" spans="11:20" ht="12.75">
      <c r="K137" s="23"/>
      <c r="L137" s="23" t="s">
        <v>1088</v>
      </c>
      <c r="M137" s="23" t="s">
        <v>1089</v>
      </c>
      <c r="N137" s="23" t="s">
        <v>1090</v>
      </c>
      <c r="O137" s="23" t="s">
        <v>420</v>
      </c>
      <c r="P137" s="23"/>
      <c r="Q137" s="55"/>
      <c r="T137" s="93"/>
    </row>
    <row r="139" ht="12.75">
      <c r="I139" s="1" t="s">
        <v>707</v>
      </c>
    </row>
    <row r="140" spans="11:19" ht="12.75">
      <c r="K140" s="27"/>
      <c r="M140" s="27">
        <v>2</v>
      </c>
      <c r="N140" s="27">
        <v>4</v>
      </c>
      <c r="O140" s="27"/>
      <c r="P140" s="96" t="s">
        <v>100</v>
      </c>
      <c r="Q140" s="27" t="s">
        <v>157</v>
      </c>
      <c r="R140" s="57" t="s">
        <v>447</v>
      </c>
      <c r="S140" s="45" t="s">
        <v>65</v>
      </c>
    </row>
    <row r="141" spans="11:19" ht="12.75">
      <c r="K141" s="27"/>
      <c r="L141" s="27">
        <v>2</v>
      </c>
      <c r="M141" s="27">
        <v>2</v>
      </c>
      <c r="N141" s="27"/>
      <c r="O141" s="27"/>
      <c r="P141" s="96" t="s">
        <v>401</v>
      </c>
      <c r="Q141" s="39" t="s">
        <v>63</v>
      </c>
      <c r="R141" s="57" t="s">
        <v>429</v>
      </c>
      <c r="S141" s="45" t="s">
        <v>65</v>
      </c>
    </row>
    <row r="142" spans="11:19" ht="12.75">
      <c r="K142" s="27"/>
      <c r="L142" s="27"/>
      <c r="M142" s="27">
        <v>2</v>
      </c>
      <c r="N142" s="27">
        <v>4</v>
      </c>
      <c r="O142" s="27"/>
      <c r="P142" s="96" t="s">
        <v>986</v>
      </c>
      <c r="Q142" s="39" t="s">
        <v>1167</v>
      </c>
      <c r="R142" s="57" t="s">
        <v>1085</v>
      </c>
      <c r="S142" s="45" t="s">
        <v>65</v>
      </c>
    </row>
    <row r="143" spans="11:19" ht="12.75">
      <c r="K143" s="27"/>
      <c r="L143" s="27"/>
      <c r="M143" s="27">
        <v>2</v>
      </c>
      <c r="N143" s="27">
        <v>4</v>
      </c>
      <c r="O143" s="27"/>
      <c r="P143" s="96" t="s">
        <v>1170</v>
      </c>
      <c r="Q143" s="39" t="s">
        <v>1168</v>
      </c>
      <c r="R143" s="57" t="s">
        <v>1085</v>
      </c>
      <c r="S143" s="45" t="s">
        <v>65</v>
      </c>
    </row>
    <row r="144" spans="11:20" ht="12.75">
      <c r="K144" s="27"/>
      <c r="L144" s="27"/>
      <c r="M144" s="27"/>
      <c r="N144" s="27"/>
      <c r="O144" s="27"/>
      <c r="P144" s="96"/>
      <c r="Q144" s="27"/>
      <c r="R144" s="96"/>
      <c r="S144" s="34"/>
      <c r="T144" s="25"/>
    </row>
    <row r="145" spans="11:21" ht="12.75">
      <c r="K145" s="27"/>
      <c r="L145" s="27"/>
      <c r="M145" s="27"/>
      <c r="N145" s="27"/>
      <c r="O145" s="27">
        <v>2</v>
      </c>
      <c r="P145" s="96" t="s">
        <v>28</v>
      </c>
      <c r="Q145" s="27" t="s">
        <v>1095</v>
      </c>
      <c r="R145" s="96" t="s">
        <v>1128</v>
      </c>
      <c r="S145" s="34" t="s">
        <v>416</v>
      </c>
      <c r="T145" s="25" t="s">
        <v>1174</v>
      </c>
      <c r="U145" s="136" t="s">
        <v>1176</v>
      </c>
    </row>
    <row r="146" spans="11:18" ht="12.75">
      <c r="K146" s="27"/>
      <c r="L146" s="27"/>
      <c r="M146" s="27"/>
      <c r="N146" s="27"/>
      <c r="O146" s="27"/>
      <c r="P146" s="96"/>
      <c r="Q146" s="39"/>
      <c r="R146" s="57"/>
    </row>
    <row r="147" spans="11:12" ht="12.75">
      <c r="K147" s="27"/>
      <c r="L147" s="27"/>
    </row>
    <row r="148" spans="11:16" ht="12.75">
      <c r="K148" s="27"/>
      <c r="O148" s="11" t="s">
        <v>1079</v>
      </c>
      <c r="P148" s="138" t="s">
        <v>1163</v>
      </c>
    </row>
    <row r="149" spans="11:17" ht="12.75">
      <c r="K149" s="27"/>
      <c r="O149" s="137"/>
      <c r="Q149" s="24"/>
    </row>
    <row r="150" spans="11:17" ht="12.75">
      <c r="K150" s="27"/>
      <c r="L150" s="24" t="s">
        <v>1091</v>
      </c>
      <c r="Q150" s="24"/>
    </row>
    <row r="151" ht="12.75">
      <c r="K151" s="27"/>
    </row>
    <row r="152" spans="11:17" ht="12.75">
      <c r="K152" s="27"/>
      <c r="L152" s="39" t="s">
        <v>1092</v>
      </c>
      <c r="M152" s="39" t="s">
        <v>1087</v>
      </c>
      <c r="N152" s="39" t="s">
        <v>146</v>
      </c>
      <c r="O152" s="39" t="s">
        <v>1086</v>
      </c>
      <c r="P152" s="39"/>
      <c r="Q152" s="55"/>
    </row>
    <row r="153" spans="11:20" ht="12.75">
      <c r="K153" s="27"/>
      <c r="L153" s="32" t="s">
        <v>75</v>
      </c>
      <c r="M153" s="32" t="s">
        <v>75</v>
      </c>
      <c r="N153" s="32" t="s">
        <v>75</v>
      </c>
      <c r="O153" s="32" t="s">
        <v>75</v>
      </c>
      <c r="P153" s="32" t="s">
        <v>70</v>
      </c>
      <c r="Q153" s="58" t="s">
        <v>79</v>
      </c>
      <c r="R153" s="32" t="s">
        <v>400</v>
      </c>
      <c r="S153" s="32" t="s">
        <v>399</v>
      </c>
      <c r="T153" s="32" t="s">
        <v>596</v>
      </c>
    </row>
    <row r="154" spans="11:17" ht="12.75">
      <c r="K154" s="27"/>
      <c r="L154" s="23" t="s">
        <v>1088</v>
      </c>
      <c r="M154" s="23" t="s">
        <v>1089</v>
      </c>
      <c r="N154" s="23" t="s">
        <v>1090</v>
      </c>
      <c r="O154" s="23" t="s">
        <v>420</v>
      </c>
      <c r="P154" s="23"/>
      <c r="Q154" s="55"/>
    </row>
    <row r="155" spans="11:18" ht="12.75">
      <c r="K155" s="27"/>
      <c r="R155" s="57"/>
    </row>
    <row r="156" spans="11:19" ht="12.75">
      <c r="K156" s="27"/>
      <c r="L156" s="27"/>
      <c r="M156" s="27"/>
      <c r="N156" s="27"/>
      <c r="O156" s="27"/>
      <c r="P156" s="96"/>
      <c r="Q156" s="27"/>
      <c r="R156" s="57"/>
      <c r="S156" s="45"/>
    </row>
    <row r="157" spans="11:19" ht="12.75">
      <c r="K157" s="27"/>
      <c r="M157" s="27">
        <v>2</v>
      </c>
      <c r="N157" s="27">
        <v>4</v>
      </c>
      <c r="O157" s="27"/>
      <c r="P157" s="96" t="s">
        <v>100</v>
      </c>
      <c r="Q157" s="27" t="s">
        <v>157</v>
      </c>
      <c r="R157" s="57" t="s">
        <v>447</v>
      </c>
      <c r="S157" s="45" t="s">
        <v>65</v>
      </c>
    </row>
    <row r="158" spans="11:19" ht="12.75">
      <c r="K158" s="27"/>
      <c r="L158" s="27">
        <v>2</v>
      </c>
      <c r="M158" s="27">
        <v>2</v>
      </c>
      <c r="N158" s="27"/>
      <c r="O158" s="27"/>
      <c r="P158" s="96" t="s">
        <v>401</v>
      </c>
      <c r="Q158" s="39" t="s">
        <v>63</v>
      </c>
      <c r="R158" s="57" t="s">
        <v>429</v>
      </c>
      <c r="S158" s="45" t="s">
        <v>65</v>
      </c>
    </row>
    <row r="159" spans="11:19" ht="12.75">
      <c r="K159" s="27"/>
      <c r="L159" s="27"/>
      <c r="M159" s="27">
        <v>2</v>
      </c>
      <c r="N159" s="27">
        <v>4</v>
      </c>
      <c r="O159" s="27"/>
      <c r="P159" s="96" t="s">
        <v>986</v>
      </c>
      <c r="Q159" s="39" t="s">
        <v>1167</v>
      </c>
      <c r="R159" s="57" t="s">
        <v>1085</v>
      </c>
      <c r="S159" s="45" t="s">
        <v>65</v>
      </c>
    </row>
    <row r="160" spans="9:19" ht="12.75">
      <c r="I160" s="1" t="s">
        <v>710</v>
      </c>
      <c r="K160" s="27"/>
      <c r="L160" s="39"/>
      <c r="M160" s="27">
        <v>2</v>
      </c>
      <c r="N160" s="27">
        <v>4</v>
      </c>
      <c r="O160" s="27"/>
      <c r="P160" s="96" t="s">
        <v>1170</v>
      </c>
      <c r="Q160" s="39" t="s">
        <v>1168</v>
      </c>
      <c r="R160" s="57" t="s">
        <v>1085</v>
      </c>
      <c r="S160" s="45" t="s">
        <v>65</v>
      </c>
    </row>
    <row r="161" spans="12:19" ht="12.75">
      <c r="L161" s="39"/>
      <c r="M161" s="27">
        <v>2</v>
      </c>
      <c r="N161" s="27">
        <v>4</v>
      </c>
      <c r="O161" s="27"/>
      <c r="P161" s="96" t="s">
        <v>1171</v>
      </c>
      <c r="Q161" s="39" t="s">
        <v>1169</v>
      </c>
      <c r="R161" s="57" t="s">
        <v>1085</v>
      </c>
      <c r="S161" s="45" t="s">
        <v>65</v>
      </c>
    </row>
    <row r="162" spans="12:15" ht="12.75">
      <c r="L162" s="39"/>
      <c r="M162" s="39"/>
      <c r="N162" s="39"/>
      <c r="O162" s="39"/>
    </row>
    <row r="163" spans="12:21" ht="12.75">
      <c r="L163" s="39"/>
      <c r="M163" s="39"/>
      <c r="N163" s="39">
        <v>2</v>
      </c>
      <c r="O163" s="39"/>
      <c r="P163" s="96" t="s">
        <v>1178</v>
      </c>
      <c r="Q163" s="27" t="s">
        <v>610</v>
      </c>
      <c r="R163" s="96" t="s">
        <v>411</v>
      </c>
      <c r="S163" t="s">
        <v>95</v>
      </c>
      <c r="T163" s="25" t="s">
        <v>1181</v>
      </c>
      <c r="U163" s="136" t="s">
        <v>1176</v>
      </c>
    </row>
    <row r="164" spans="12:21" ht="12.75">
      <c r="L164" s="39"/>
      <c r="M164" s="39"/>
      <c r="N164" s="27">
        <v>4</v>
      </c>
      <c r="O164" s="39"/>
      <c r="P164" s="96" t="s">
        <v>29</v>
      </c>
      <c r="Q164" s="27" t="s">
        <v>437</v>
      </c>
      <c r="R164" s="96" t="s">
        <v>407</v>
      </c>
      <c r="S164" t="s">
        <v>95</v>
      </c>
      <c r="T164" s="25" t="s">
        <v>1184</v>
      </c>
      <c r="U164" s="136" t="s">
        <v>1176</v>
      </c>
    </row>
    <row r="165" spans="12:21" ht="12.75">
      <c r="L165" s="39"/>
      <c r="M165" s="39"/>
      <c r="N165" s="27">
        <v>4</v>
      </c>
      <c r="O165" s="39"/>
      <c r="P165" s="96" t="s">
        <v>1180</v>
      </c>
      <c r="Q165" s="27" t="s">
        <v>1177</v>
      </c>
      <c r="R165" s="96" t="s">
        <v>380</v>
      </c>
      <c r="S165" t="s">
        <v>95</v>
      </c>
      <c r="T165" s="25" t="s">
        <v>1184</v>
      </c>
      <c r="U165" s="136" t="s">
        <v>1176</v>
      </c>
    </row>
    <row r="166" spans="12:21" ht="12.75">
      <c r="L166" s="39"/>
      <c r="M166" s="39"/>
      <c r="N166" s="39">
        <v>2</v>
      </c>
      <c r="O166" s="39"/>
      <c r="P166" s="96" t="s">
        <v>1179</v>
      </c>
      <c r="Q166" s="27" t="s">
        <v>438</v>
      </c>
      <c r="R166" s="96" t="s">
        <v>411</v>
      </c>
      <c r="S166" t="s">
        <v>95</v>
      </c>
      <c r="T166" s="25" t="s">
        <v>1183</v>
      </c>
      <c r="U166" s="136" t="s">
        <v>1176</v>
      </c>
    </row>
    <row r="167" spans="12:15" ht="12.75">
      <c r="L167" s="27"/>
      <c r="M167" s="27"/>
      <c r="N167" s="27"/>
      <c r="O167" s="27"/>
    </row>
    <row r="168" spans="12:21" ht="12.75">
      <c r="L168" s="39"/>
      <c r="M168" s="27"/>
      <c r="N168" s="27">
        <v>4</v>
      </c>
      <c r="O168" s="27"/>
      <c r="P168" s="96" t="s">
        <v>106</v>
      </c>
      <c r="Q168" s="27" t="s">
        <v>698</v>
      </c>
      <c r="R168" s="57" t="s">
        <v>403</v>
      </c>
      <c r="S168" t="s">
        <v>404</v>
      </c>
      <c r="U168" s="136" t="s">
        <v>1182</v>
      </c>
    </row>
    <row r="169" spans="12:21" ht="12.75">
      <c r="L169" s="27"/>
      <c r="M169" s="27"/>
      <c r="N169" s="27">
        <v>4</v>
      </c>
      <c r="O169" s="27"/>
      <c r="P169" s="96" t="s">
        <v>1185</v>
      </c>
      <c r="Q169" s="27" t="s">
        <v>735</v>
      </c>
      <c r="R169" s="96" t="s">
        <v>407</v>
      </c>
      <c r="S169" s="34" t="s">
        <v>611</v>
      </c>
      <c r="U169" s="136" t="s">
        <v>1182</v>
      </c>
    </row>
    <row r="170" spans="12:21" ht="12.75">
      <c r="L170" s="27"/>
      <c r="M170" s="27"/>
      <c r="N170" s="27">
        <v>4</v>
      </c>
      <c r="P170" s="96" t="s">
        <v>1186</v>
      </c>
      <c r="Q170" s="27" t="s">
        <v>736</v>
      </c>
      <c r="R170" s="96" t="s">
        <v>380</v>
      </c>
      <c r="S170" s="34" t="s">
        <v>611</v>
      </c>
      <c r="U170" s="136" t="s">
        <v>1182</v>
      </c>
    </row>
    <row r="171" spans="12:21" ht="12.75">
      <c r="L171" s="39"/>
      <c r="M171" s="39"/>
      <c r="N171" s="27">
        <v>4</v>
      </c>
      <c r="O171" s="39"/>
      <c r="P171" s="96" t="s">
        <v>1187</v>
      </c>
      <c r="Q171" s="27" t="s">
        <v>64</v>
      </c>
      <c r="R171" s="96" t="s">
        <v>411</v>
      </c>
      <c r="S171" s="34" t="s">
        <v>611</v>
      </c>
      <c r="U171" s="136" t="s">
        <v>1182</v>
      </c>
    </row>
    <row r="172" spans="12:15" ht="12.75">
      <c r="L172" s="39"/>
      <c r="M172" s="39"/>
      <c r="N172" s="39"/>
      <c r="O172" s="39"/>
    </row>
    <row r="173" spans="12:21" ht="12.75">
      <c r="L173" s="39"/>
      <c r="M173" s="39"/>
      <c r="N173" s="27"/>
      <c r="O173" s="27">
        <v>2</v>
      </c>
      <c r="P173" s="96" t="s">
        <v>28</v>
      </c>
      <c r="Q173" s="27" t="s">
        <v>1095</v>
      </c>
      <c r="R173" s="96" t="s">
        <v>1128</v>
      </c>
      <c r="S173" s="34" t="s">
        <v>416</v>
      </c>
      <c r="T173" s="25" t="s">
        <v>1174</v>
      </c>
      <c r="U173" s="136" t="s">
        <v>1176</v>
      </c>
    </row>
    <row r="174" spans="12:20" ht="12.75">
      <c r="L174" s="39"/>
      <c r="M174" s="39"/>
      <c r="T174" s="25"/>
    </row>
    <row r="175" spans="12:20" ht="12.75">
      <c r="L175" s="39"/>
      <c r="M175" s="39"/>
      <c r="N175" s="27">
        <v>1</v>
      </c>
      <c r="P175" s="96" t="s">
        <v>1110</v>
      </c>
      <c r="Q175" s="27" t="s">
        <v>1109</v>
      </c>
      <c r="R175" s="96" t="s">
        <v>1129</v>
      </c>
      <c r="S175" t="s">
        <v>608</v>
      </c>
      <c r="T175" s="25" t="s">
        <v>1188</v>
      </c>
    </row>
    <row r="176" spans="11:20" ht="12.75">
      <c r="K176" s="39"/>
      <c r="L176" s="39"/>
      <c r="M176" s="27"/>
      <c r="T176" s="25"/>
    </row>
    <row r="177" spans="12:20" ht="12.75">
      <c r="L177" s="39"/>
      <c r="M177" s="27"/>
      <c r="N177" s="27">
        <v>1</v>
      </c>
      <c r="P177" s="57" t="s">
        <v>1173</v>
      </c>
      <c r="Q177" t="s">
        <v>1126</v>
      </c>
      <c r="R177" s="57" t="s">
        <v>1127</v>
      </c>
      <c r="S177" t="s">
        <v>608</v>
      </c>
      <c r="T177" s="25" t="s">
        <v>1181</v>
      </c>
    </row>
    <row r="178" spans="12:17" ht="12.75">
      <c r="L178" s="39"/>
      <c r="M178" s="27"/>
      <c r="N178" s="27"/>
      <c r="O178" s="27"/>
      <c r="Q178" s="27"/>
    </row>
    <row r="179" spans="12:20" ht="12.75">
      <c r="L179" s="27"/>
      <c r="M179" s="27">
        <v>1</v>
      </c>
      <c r="P179" s="57" t="s">
        <v>1068</v>
      </c>
      <c r="Q179" s="27" t="s">
        <v>1166</v>
      </c>
      <c r="R179" s="57" t="s">
        <v>1190</v>
      </c>
      <c r="S179" t="s">
        <v>608</v>
      </c>
      <c r="T179" s="25" t="s">
        <v>1189</v>
      </c>
    </row>
    <row r="180" spans="9:12" ht="12.75">
      <c r="I180" s="1" t="s">
        <v>725</v>
      </c>
      <c r="L180" s="27"/>
    </row>
    <row r="181" spans="11:12" ht="12.75">
      <c r="K181" s="24"/>
      <c r="L181" s="27"/>
    </row>
    <row r="182" spans="15:16" ht="12.75">
      <c r="O182" s="11" t="s">
        <v>1080</v>
      </c>
      <c r="P182" s="138" t="s">
        <v>1163</v>
      </c>
    </row>
    <row r="183" spans="11:17" ht="12.75">
      <c r="K183" s="39"/>
      <c r="Q183" s="24"/>
    </row>
    <row r="184" spans="11:17" ht="12.75">
      <c r="K184" s="32"/>
      <c r="L184" s="24" t="s">
        <v>1091</v>
      </c>
      <c r="Q184" s="24"/>
    </row>
    <row r="185" ht="12.75">
      <c r="K185" s="23"/>
    </row>
    <row r="186" spans="12:17" ht="12.75">
      <c r="L186" s="39" t="s">
        <v>1092</v>
      </c>
      <c r="M186" s="39" t="s">
        <v>1087</v>
      </c>
      <c r="N186" s="39" t="s">
        <v>146</v>
      </c>
      <c r="O186" s="39" t="s">
        <v>1086</v>
      </c>
      <c r="P186" s="39"/>
      <c r="Q186" s="55"/>
    </row>
    <row r="187" spans="11:20" ht="12.75">
      <c r="K187" s="27"/>
      <c r="L187" s="32" t="s">
        <v>75</v>
      </c>
      <c r="M187" s="32" t="s">
        <v>75</v>
      </c>
      <c r="N187" s="32" t="s">
        <v>75</v>
      </c>
      <c r="O187" s="32" t="s">
        <v>75</v>
      </c>
      <c r="P187" s="32" t="s">
        <v>70</v>
      </c>
      <c r="Q187" s="58" t="s">
        <v>79</v>
      </c>
      <c r="R187" s="32" t="s">
        <v>400</v>
      </c>
      <c r="S187" s="32" t="s">
        <v>399</v>
      </c>
      <c r="T187" s="32" t="s">
        <v>596</v>
      </c>
    </row>
    <row r="188" spans="11:17" ht="12.75">
      <c r="K188" s="27"/>
      <c r="L188" s="23" t="s">
        <v>1088</v>
      </c>
      <c r="M188" s="23" t="s">
        <v>1089</v>
      </c>
      <c r="N188" s="23" t="s">
        <v>1090</v>
      </c>
      <c r="O188" s="23" t="s">
        <v>420</v>
      </c>
      <c r="P188" s="23"/>
      <c r="Q188" s="55"/>
    </row>
    <row r="189" spans="11:18" ht="12.75">
      <c r="K189" s="39"/>
      <c r="R189" s="57"/>
    </row>
    <row r="190" spans="11:19" ht="12.75">
      <c r="K190" s="39"/>
      <c r="L190" s="27"/>
      <c r="M190" s="27"/>
      <c r="N190" s="27"/>
      <c r="O190" s="27"/>
      <c r="P190" s="96"/>
      <c r="Q190" s="27"/>
      <c r="R190" s="57"/>
      <c r="S190" s="45"/>
    </row>
    <row r="191" spans="11:19" ht="12.75">
      <c r="K191" s="39"/>
      <c r="M191" s="27">
        <v>2</v>
      </c>
      <c r="N191" s="27">
        <v>4</v>
      </c>
      <c r="O191" s="27"/>
      <c r="P191" s="96" t="s">
        <v>100</v>
      </c>
      <c r="Q191" s="27" t="s">
        <v>157</v>
      </c>
      <c r="R191" s="57" t="s">
        <v>447</v>
      </c>
      <c r="S191" s="45" t="s">
        <v>65</v>
      </c>
    </row>
    <row r="192" spans="11:19" ht="12.75">
      <c r="K192" s="39"/>
      <c r="L192" s="27">
        <v>2</v>
      </c>
      <c r="M192" s="27">
        <v>2</v>
      </c>
      <c r="N192" s="27"/>
      <c r="O192" s="27"/>
      <c r="P192" s="96" t="s">
        <v>401</v>
      </c>
      <c r="Q192" s="39" t="s">
        <v>63</v>
      </c>
      <c r="R192" s="57" t="s">
        <v>429</v>
      </c>
      <c r="S192" s="45" t="s">
        <v>65</v>
      </c>
    </row>
    <row r="193" spans="11:19" ht="12.75">
      <c r="K193" s="39"/>
      <c r="L193" s="27"/>
      <c r="M193" s="27">
        <v>2</v>
      </c>
      <c r="N193" s="27">
        <v>4</v>
      </c>
      <c r="O193" s="27"/>
      <c r="P193" s="96" t="s">
        <v>986</v>
      </c>
      <c r="Q193" s="39" t="s">
        <v>1167</v>
      </c>
      <c r="R193" s="57" t="s">
        <v>1085</v>
      </c>
      <c r="S193" s="45" t="s">
        <v>65</v>
      </c>
    </row>
    <row r="194" spans="11:19" ht="12.75">
      <c r="K194" s="39"/>
      <c r="L194" s="39"/>
      <c r="M194" s="27">
        <v>2</v>
      </c>
      <c r="N194" s="27">
        <v>4</v>
      </c>
      <c r="O194" s="27"/>
      <c r="P194" s="96" t="s">
        <v>1170</v>
      </c>
      <c r="Q194" s="39" t="s">
        <v>1168</v>
      </c>
      <c r="R194" s="57" t="s">
        <v>1085</v>
      </c>
      <c r="S194" s="45" t="s">
        <v>65</v>
      </c>
    </row>
    <row r="195" spans="11:19" ht="12.75">
      <c r="K195" s="39"/>
      <c r="L195" s="39"/>
      <c r="M195" s="27">
        <v>2</v>
      </c>
      <c r="N195" s="27">
        <v>4</v>
      </c>
      <c r="O195" s="27"/>
      <c r="P195" s="96" t="s">
        <v>1171</v>
      </c>
      <c r="Q195" s="39" t="s">
        <v>1169</v>
      </c>
      <c r="R195" s="57" t="s">
        <v>1085</v>
      </c>
      <c r="S195" s="45" t="s">
        <v>65</v>
      </c>
    </row>
    <row r="196" spans="11:15" ht="12.75">
      <c r="K196" s="39"/>
      <c r="L196" s="39"/>
      <c r="M196" s="39"/>
      <c r="N196" s="39"/>
      <c r="O196" s="39"/>
    </row>
    <row r="197" spans="11:21" ht="12.75">
      <c r="K197" s="39"/>
      <c r="L197" s="39"/>
      <c r="M197" s="39"/>
      <c r="N197" s="39">
        <v>2</v>
      </c>
      <c r="O197" s="39"/>
      <c r="P197" s="96" t="s">
        <v>1178</v>
      </c>
      <c r="Q197" s="27" t="s">
        <v>610</v>
      </c>
      <c r="R197" s="96" t="s">
        <v>411</v>
      </c>
      <c r="S197" t="s">
        <v>95</v>
      </c>
      <c r="T197" s="25" t="s">
        <v>1181</v>
      </c>
      <c r="U197" s="136" t="s">
        <v>1176</v>
      </c>
    </row>
    <row r="198" spans="11:21" ht="12.75">
      <c r="K198" s="39"/>
      <c r="L198" s="39"/>
      <c r="M198" s="39"/>
      <c r="N198" s="27">
        <v>4</v>
      </c>
      <c r="O198" s="39"/>
      <c r="P198" s="96" t="s">
        <v>29</v>
      </c>
      <c r="Q198" s="27" t="s">
        <v>437</v>
      </c>
      <c r="R198" s="96" t="s">
        <v>407</v>
      </c>
      <c r="S198" t="s">
        <v>95</v>
      </c>
      <c r="T198" s="25" t="s">
        <v>1184</v>
      </c>
      <c r="U198" s="136" t="s">
        <v>1176</v>
      </c>
    </row>
    <row r="199" spans="11:21" ht="12.75">
      <c r="K199" s="39"/>
      <c r="L199" s="39"/>
      <c r="M199" s="39"/>
      <c r="N199" s="27">
        <v>4</v>
      </c>
      <c r="O199" s="39"/>
      <c r="P199" s="96" t="s">
        <v>1180</v>
      </c>
      <c r="Q199" s="27" t="s">
        <v>1177</v>
      </c>
      <c r="R199" s="96" t="s">
        <v>380</v>
      </c>
      <c r="S199" t="s">
        <v>95</v>
      </c>
      <c r="T199" s="25" t="s">
        <v>1184</v>
      </c>
      <c r="U199" s="136" t="s">
        <v>1176</v>
      </c>
    </row>
    <row r="200" spans="11:21" ht="12.75">
      <c r="K200" s="39"/>
      <c r="L200" s="39"/>
      <c r="M200" s="39"/>
      <c r="N200" s="39">
        <v>2</v>
      </c>
      <c r="O200" s="39"/>
      <c r="P200" s="96" t="s">
        <v>1179</v>
      </c>
      <c r="Q200" s="27" t="s">
        <v>438</v>
      </c>
      <c r="R200" s="96" t="s">
        <v>411</v>
      </c>
      <c r="S200" t="s">
        <v>95</v>
      </c>
      <c r="T200" s="25" t="s">
        <v>1183</v>
      </c>
      <c r="U200" s="136" t="s">
        <v>1176</v>
      </c>
    </row>
    <row r="201" spans="11:15" ht="12.75">
      <c r="K201" s="39"/>
      <c r="L201" s="27"/>
      <c r="M201" s="27"/>
      <c r="N201" s="27"/>
      <c r="O201" s="27"/>
    </row>
    <row r="202" spans="9:21" ht="12.75">
      <c r="I202" s="135" t="s">
        <v>1076</v>
      </c>
      <c r="K202" s="39"/>
      <c r="L202" s="39"/>
      <c r="M202" s="27"/>
      <c r="N202" s="27">
        <v>4</v>
      </c>
      <c r="O202" s="27"/>
      <c r="P202" s="96" t="s">
        <v>106</v>
      </c>
      <c r="Q202" s="27" t="s">
        <v>698</v>
      </c>
      <c r="R202" s="57" t="s">
        <v>403</v>
      </c>
      <c r="S202" t="s">
        <v>404</v>
      </c>
      <c r="U202" s="136" t="s">
        <v>1182</v>
      </c>
    </row>
    <row r="203" spans="11:21" ht="12.75">
      <c r="K203" s="39"/>
      <c r="L203" s="27"/>
      <c r="M203" s="27"/>
      <c r="N203" s="27">
        <v>4</v>
      </c>
      <c r="O203" s="27"/>
      <c r="P203" s="96" t="s">
        <v>1185</v>
      </c>
      <c r="Q203" s="27" t="s">
        <v>735</v>
      </c>
      <c r="R203" s="96" t="s">
        <v>407</v>
      </c>
      <c r="S203" s="34" t="s">
        <v>611</v>
      </c>
      <c r="U203" s="136" t="s">
        <v>1182</v>
      </c>
    </row>
    <row r="204" spans="11:21" ht="12.75">
      <c r="K204" s="39"/>
      <c r="L204" s="27"/>
      <c r="M204" s="27"/>
      <c r="N204" s="27">
        <v>4</v>
      </c>
      <c r="P204" s="96" t="s">
        <v>1186</v>
      </c>
      <c r="Q204" s="27" t="s">
        <v>736</v>
      </c>
      <c r="R204" s="96" t="s">
        <v>380</v>
      </c>
      <c r="S204" s="34" t="s">
        <v>611</v>
      </c>
      <c r="U204" s="136" t="s">
        <v>1182</v>
      </c>
    </row>
    <row r="205" spans="11:21" ht="12.75">
      <c r="K205" s="27"/>
      <c r="L205" s="39"/>
      <c r="M205" s="39"/>
      <c r="N205" s="27">
        <v>4</v>
      </c>
      <c r="O205" s="39"/>
      <c r="P205" s="96" t="s">
        <v>1187</v>
      </c>
      <c r="Q205" s="27" t="s">
        <v>64</v>
      </c>
      <c r="R205" s="96" t="s">
        <v>411</v>
      </c>
      <c r="S205" s="34" t="s">
        <v>611</v>
      </c>
      <c r="U205" s="136" t="s">
        <v>1182</v>
      </c>
    </row>
    <row r="206" spans="11:15" ht="12.75">
      <c r="K206" s="27"/>
      <c r="L206" s="39"/>
      <c r="M206" s="39"/>
      <c r="N206" s="39"/>
      <c r="O206" s="39"/>
    </row>
    <row r="207" spans="11:21" ht="12.75">
      <c r="K207" s="27"/>
      <c r="L207" s="39"/>
      <c r="M207" s="39"/>
      <c r="N207" s="27"/>
      <c r="O207" s="27">
        <v>2</v>
      </c>
      <c r="P207" s="96" t="s">
        <v>28</v>
      </c>
      <c r="Q207" s="27" t="s">
        <v>1095</v>
      </c>
      <c r="R207" s="96" t="s">
        <v>1128</v>
      </c>
      <c r="S207" s="34" t="s">
        <v>416</v>
      </c>
      <c r="T207" s="25" t="s">
        <v>1174</v>
      </c>
      <c r="U207" s="136" t="s">
        <v>1176</v>
      </c>
    </row>
    <row r="208" spans="11:20" ht="12.75">
      <c r="K208" s="27"/>
      <c r="L208" s="39"/>
      <c r="M208" s="39"/>
      <c r="T208" s="25"/>
    </row>
    <row r="209" spans="11:20" ht="12.75">
      <c r="K209" s="27"/>
      <c r="L209" s="39"/>
      <c r="M209" s="39"/>
      <c r="N209" s="27">
        <v>1</v>
      </c>
      <c r="P209" s="96" t="s">
        <v>1110</v>
      </c>
      <c r="Q209" s="27" t="s">
        <v>1109</v>
      </c>
      <c r="R209" s="96" t="s">
        <v>1129</v>
      </c>
      <c r="S209" t="s">
        <v>608</v>
      </c>
      <c r="T209" s="25" t="s">
        <v>1188</v>
      </c>
    </row>
    <row r="210" spans="11:20" ht="12.75">
      <c r="K210" s="27"/>
      <c r="L210" s="39"/>
      <c r="M210" s="27"/>
      <c r="T210" s="25"/>
    </row>
    <row r="211" spans="11:20" ht="12.75">
      <c r="K211" s="27"/>
      <c r="L211" s="39"/>
      <c r="M211" s="27"/>
      <c r="N211" s="27">
        <v>1</v>
      </c>
      <c r="P211" s="57" t="s">
        <v>1173</v>
      </c>
      <c r="Q211" t="s">
        <v>1126</v>
      </c>
      <c r="R211" s="57" t="s">
        <v>1127</v>
      </c>
      <c r="S211" t="s">
        <v>608</v>
      </c>
      <c r="T211" s="25" t="s">
        <v>1181</v>
      </c>
    </row>
    <row r="212" spans="11:17" ht="12.75">
      <c r="K212" s="27"/>
      <c r="L212" s="39"/>
      <c r="M212" s="27"/>
      <c r="N212" s="27"/>
      <c r="O212" s="27"/>
      <c r="Q212" s="27"/>
    </row>
    <row r="213" spans="11:20" ht="12.75">
      <c r="K213" s="27"/>
      <c r="L213" s="27"/>
      <c r="M213" s="27">
        <v>1</v>
      </c>
      <c r="P213" s="57" t="s">
        <v>1068</v>
      </c>
      <c r="Q213" s="27" t="s">
        <v>1166</v>
      </c>
      <c r="R213" s="57" t="s">
        <v>1190</v>
      </c>
      <c r="S213" t="s">
        <v>608</v>
      </c>
      <c r="T213" s="25" t="s">
        <v>1189</v>
      </c>
    </row>
    <row r="214" spans="11:12" ht="12.75">
      <c r="K214" s="27"/>
      <c r="L214" s="27"/>
    </row>
    <row r="215" ht="12.75">
      <c r="L215" s="27"/>
    </row>
    <row r="216" ht="12.75">
      <c r="L216" s="27"/>
    </row>
    <row r="217" spans="12:15" ht="12.75">
      <c r="L217" s="27"/>
      <c r="M217" s="27"/>
      <c r="N217" s="27"/>
      <c r="O217" s="27"/>
    </row>
    <row r="222" ht="12.75">
      <c r="I222" s="135" t="s">
        <v>1077</v>
      </c>
    </row>
    <row r="224" spans="16:20" ht="12.75">
      <c r="P224" s="96"/>
      <c r="Q224" s="27"/>
      <c r="R224" s="96"/>
      <c r="T224" s="25"/>
    </row>
    <row r="225" spans="16:18" ht="12.75">
      <c r="P225" s="57"/>
      <c r="Q225" s="27"/>
      <c r="R225" s="57"/>
    </row>
    <row r="226" spans="17:20" ht="12.75">
      <c r="Q226" s="27"/>
      <c r="R226" s="96"/>
      <c r="T226" s="17"/>
    </row>
    <row r="227" spans="17:20" ht="12.75">
      <c r="Q227" s="27"/>
      <c r="R227" s="96"/>
      <c r="T227" s="17"/>
    </row>
    <row r="228" spans="17:20" ht="12.75">
      <c r="Q228" s="27"/>
      <c r="R228" s="96"/>
      <c r="T228" s="17"/>
    </row>
    <row r="229" spans="17:20" ht="12.75">
      <c r="Q229" s="27"/>
      <c r="R229" s="96"/>
      <c r="T229" s="17"/>
    </row>
    <row r="233" spans="16:18" ht="12.75">
      <c r="P233" s="57"/>
      <c r="Q233" s="27"/>
      <c r="R233" s="57"/>
    </row>
    <row r="234" spans="16:18" ht="12.75">
      <c r="P234" s="96"/>
      <c r="Q234" s="27"/>
      <c r="R234" s="96"/>
    </row>
    <row r="243" ht="12.75">
      <c r="I243" s="135" t="s">
        <v>1230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22"/>
  <sheetViews>
    <sheetView workbookViewId="0" topLeftCell="I112">
      <selection activeCell="P127" sqref="P127:S127"/>
    </sheetView>
  </sheetViews>
  <sheetFormatPr defaultColWidth="9.140625" defaultRowHeight="12.75"/>
  <cols>
    <col min="1" max="10" width="10.421875" style="0" customWidth="1"/>
    <col min="11" max="14" width="11.8515625" style="0" customWidth="1"/>
    <col min="15" max="15" width="11.57421875" style="0" customWidth="1"/>
    <col min="16" max="16" width="11.8515625" style="0" customWidth="1"/>
    <col min="17" max="19" width="11.57421875" style="0" customWidth="1"/>
    <col min="20" max="24" width="10.421875" style="0" customWidth="1"/>
    <col min="25" max="25" width="10.00390625" style="0" customWidth="1"/>
    <col min="26" max="27" width="10.421875" style="0" customWidth="1"/>
    <col min="28" max="28" width="10.00390625" style="0" customWidth="1"/>
    <col min="29" max="30" width="10.421875" style="0" customWidth="1"/>
    <col min="31" max="31" width="2.7109375" style="0" customWidth="1"/>
    <col min="32" max="35" width="10.421875" style="0" customWidth="1"/>
    <col min="36" max="36" width="11.7109375" style="0" customWidth="1"/>
    <col min="37" max="43" width="10.421875" style="0" customWidth="1"/>
    <col min="44" max="44" width="2.57421875" style="0" customWidth="1"/>
    <col min="45" max="45" width="11.00390625" style="0" customWidth="1"/>
    <col min="46" max="46" width="10.8515625" style="0" customWidth="1"/>
    <col min="47" max="47" width="11.00390625" style="0" customWidth="1"/>
    <col min="48" max="16384" width="10.421875" style="0" customWidth="1"/>
  </cols>
  <sheetData>
    <row r="1" spans="1:47" ht="12.75">
      <c r="A1" s="1" t="s">
        <v>699</v>
      </c>
      <c r="B1" t="s">
        <v>743</v>
      </c>
      <c r="C1" s="8" t="s">
        <v>719</v>
      </c>
      <c r="D1" s="3" t="s">
        <v>700</v>
      </c>
      <c r="E1" t="s">
        <v>743</v>
      </c>
      <c r="F1" s="8" t="s">
        <v>719</v>
      </c>
      <c r="G1" s="3" t="s">
        <v>701</v>
      </c>
      <c r="H1" t="s">
        <v>743</v>
      </c>
      <c r="I1" s="8" t="s">
        <v>719</v>
      </c>
      <c r="J1" s="3" t="s">
        <v>702</v>
      </c>
      <c r="K1" t="s">
        <v>743</v>
      </c>
      <c r="L1" s="8" t="s">
        <v>719</v>
      </c>
      <c r="M1" s="3" t="s">
        <v>706</v>
      </c>
      <c r="N1" t="s">
        <v>743</v>
      </c>
      <c r="O1" s="8" t="s">
        <v>719</v>
      </c>
      <c r="P1" s="3" t="s">
        <v>707</v>
      </c>
      <c r="Q1" t="s">
        <v>743</v>
      </c>
      <c r="R1" s="8" t="s">
        <v>719</v>
      </c>
      <c r="S1" s="3" t="s">
        <v>710</v>
      </c>
      <c r="T1" t="s">
        <v>743</v>
      </c>
      <c r="U1" s="8" t="s">
        <v>719</v>
      </c>
      <c r="V1" s="3" t="s">
        <v>725</v>
      </c>
      <c r="W1" t="s">
        <v>743</v>
      </c>
      <c r="X1" s="8" t="s">
        <v>719</v>
      </c>
      <c r="Y1" s="3" t="s">
        <v>724</v>
      </c>
      <c r="Z1" t="s">
        <v>743</v>
      </c>
      <c r="AA1" s="8" t="s">
        <v>719</v>
      </c>
      <c r="AB1" s="3" t="s">
        <v>864</v>
      </c>
      <c r="AC1" t="s">
        <v>743</v>
      </c>
      <c r="AD1" s="8" t="s">
        <v>719</v>
      </c>
      <c r="AF1" s="3" t="s">
        <v>714</v>
      </c>
      <c r="AG1" t="s">
        <v>743</v>
      </c>
      <c r="AH1" s="8" t="s">
        <v>719</v>
      </c>
      <c r="AI1" s="15" t="s">
        <v>711</v>
      </c>
      <c r="AJ1" t="s">
        <v>743</v>
      </c>
      <c r="AK1" s="8" t="s">
        <v>719</v>
      </c>
      <c r="AL1" s="15" t="s">
        <v>712</v>
      </c>
      <c r="AM1" t="s">
        <v>743</v>
      </c>
      <c r="AN1" s="8" t="s">
        <v>719</v>
      </c>
      <c r="AO1" s="15" t="s">
        <v>713</v>
      </c>
      <c r="AP1" t="s">
        <v>743</v>
      </c>
      <c r="AQ1" s="8" t="s">
        <v>719</v>
      </c>
      <c r="AR1" s="15"/>
      <c r="AS1" s="1" t="s">
        <v>721</v>
      </c>
      <c r="AT1" t="s">
        <v>743</v>
      </c>
      <c r="AU1" s="8" t="s">
        <v>719</v>
      </c>
    </row>
    <row r="2" spans="1:47" ht="12.75">
      <c r="A2" s="102" t="s">
        <v>769</v>
      </c>
      <c r="C2" s="8"/>
      <c r="D2" s="4"/>
      <c r="F2" s="8"/>
      <c r="G2" s="4"/>
      <c r="I2" s="8"/>
      <c r="J2" s="4"/>
      <c r="L2" s="8"/>
      <c r="M2" s="4"/>
      <c r="O2" s="8"/>
      <c r="P2" s="4"/>
      <c r="R2" s="8"/>
      <c r="S2" s="4"/>
      <c r="U2" s="8"/>
      <c r="V2" s="4"/>
      <c r="X2" s="8"/>
      <c r="Y2" s="4"/>
      <c r="AA2" s="8"/>
      <c r="AB2" s="101"/>
      <c r="AK2" s="8"/>
      <c r="AL2" s="4"/>
      <c r="AN2" s="8"/>
      <c r="AO2" s="4"/>
      <c r="AQ2" s="8"/>
      <c r="AR2" s="4"/>
      <c r="AS2" s="24" t="s">
        <v>722</v>
      </c>
      <c r="AU2" s="8"/>
    </row>
    <row r="3" spans="1:47" ht="12.75">
      <c r="A3" s="8">
        <v>0</v>
      </c>
      <c r="B3" s="8">
        <v>110</v>
      </c>
      <c r="C3" s="7">
        <f aca="true" t="shared" si="0" ref="C3:C13">B3*1.688</f>
        <v>185.68</v>
      </c>
      <c r="D3" s="8">
        <v>0</v>
      </c>
      <c r="E3" s="8">
        <v>132</v>
      </c>
      <c r="F3" s="7">
        <f>E3*1.688</f>
        <v>222.816</v>
      </c>
      <c r="G3" s="8">
        <v>0</v>
      </c>
      <c r="H3" s="7">
        <v>191</v>
      </c>
      <c r="I3" s="7">
        <f aca="true" t="shared" si="1" ref="I3:I12">H3*1.688</f>
        <v>322.408</v>
      </c>
      <c r="J3" s="8">
        <v>0</v>
      </c>
      <c r="K3" s="56">
        <v>244</v>
      </c>
      <c r="L3" s="7">
        <f aca="true" t="shared" si="2" ref="L3:L11">K3*1.688</f>
        <v>411.872</v>
      </c>
      <c r="M3" s="8">
        <v>0</v>
      </c>
      <c r="N3" s="7">
        <v>295</v>
      </c>
      <c r="O3" s="7">
        <f aca="true" t="shared" si="3" ref="O3:O9">N3*1.688</f>
        <v>497.96</v>
      </c>
      <c r="P3" s="8">
        <v>0</v>
      </c>
      <c r="Q3" s="7">
        <v>348</v>
      </c>
      <c r="R3" s="7">
        <f aca="true" t="shared" si="4" ref="R3:R9">Q3*1.688</f>
        <v>587.424</v>
      </c>
      <c r="S3" s="8">
        <v>0</v>
      </c>
      <c r="T3" s="56">
        <v>393</v>
      </c>
      <c r="U3" s="7">
        <f>T3*1.688</f>
        <v>663.384</v>
      </c>
      <c r="V3" s="8">
        <v>0</v>
      </c>
      <c r="W3" s="56">
        <v>437</v>
      </c>
      <c r="X3" s="7">
        <f>W3*1.688</f>
        <v>737.656</v>
      </c>
      <c r="Y3" s="8">
        <v>0</v>
      </c>
      <c r="Z3" s="7">
        <v>476</v>
      </c>
      <c r="AA3" s="7">
        <f>Z3*1.688</f>
        <v>803.4879999999999</v>
      </c>
      <c r="AB3" s="8">
        <v>0</v>
      </c>
      <c r="AC3" s="7">
        <v>515</v>
      </c>
      <c r="AD3" s="7">
        <f>AC3*1.688</f>
        <v>869.3199999999999</v>
      </c>
      <c r="AF3" s="8">
        <v>0</v>
      </c>
      <c r="AG3" s="7">
        <f>B3-10</f>
        <v>100</v>
      </c>
      <c r="AH3" s="7">
        <f aca="true" t="shared" si="5" ref="AH3:AH19">AG3*1.688</f>
        <v>168.79999999999998</v>
      </c>
      <c r="AI3" s="8">
        <v>0</v>
      </c>
      <c r="AJ3" s="78">
        <f>B3*1.1</f>
        <v>121.00000000000001</v>
      </c>
      <c r="AK3" s="7">
        <f>AJ3*1.688</f>
        <v>204.24800000000002</v>
      </c>
      <c r="AL3" s="8">
        <v>0</v>
      </c>
      <c r="AM3" s="78">
        <f>E3*1.1</f>
        <v>145.20000000000002</v>
      </c>
      <c r="AN3" s="7">
        <f aca="true" t="shared" si="6" ref="AN3:AN13">AM3*1.688</f>
        <v>245.09760000000003</v>
      </c>
      <c r="AO3" s="8">
        <v>0</v>
      </c>
      <c r="AP3" s="78">
        <f>H3*1.1</f>
        <v>210.10000000000002</v>
      </c>
      <c r="AQ3" s="7">
        <f aca="true" t="shared" si="7" ref="AQ3:AQ12">AP3*1.688</f>
        <v>354.64880000000005</v>
      </c>
      <c r="AR3" s="8"/>
      <c r="AS3" s="8">
        <v>0</v>
      </c>
      <c r="AT3" s="8">
        <v>110</v>
      </c>
      <c r="AU3" s="7">
        <f aca="true" t="shared" si="8" ref="AU3:AU13">AT3*1.688</f>
        <v>185.68</v>
      </c>
    </row>
    <row r="4" spans="1:47" ht="12.75">
      <c r="A4" s="6">
        <v>10000</v>
      </c>
      <c r="B4" s="33">
        <v>115</v>
      </c>
      <c r="C4" s="7">
        <f t="shared" si="0"/>
        <v>194.12</v>
      </c>
      <c r="D4" s="6">
        <v>10000</v>
      </c>
      <c r="E4" s="38">
        <v>166</v>
      </c>
      <c r="F4" s="7">
        <f aca="true" t="shared" si="9" ref="F4:F13">E4*1.688</f>
        <v>280.20799999999997</v>
      </c>
      <c r="G4" s="6">
        <v>10000</v>
      </c>
      <c r="H4" s="38">
        <v>239</v>
      </c>
      <c r="I4" s="7">
        <f t="shared" si="1"/>
        <v>403.43199999999996</v>
      </c>
      <c r="J4" s="6">
        <v>10000</v>
      </c>
      <c r="K4" s="51">
        <v>306</v>
      </c>
      <c r="L4" s="7">
        <f t="shared" si="2"/>
        <v>516.528</v>
      </c>
      <c r="M4" s="6">
        <v>10000</v>
      </c>
      <c r="N4" s="51">
        <v>372</v>
      </c>
      <c r="O4" s="7">
        <f t="shared" si="3"/>
        <v>627.936</v>
      </c>
      <c r="P4" s="6">
        <v>10000</v>
      </c>
      <c r="Q4" s="51">
        <v>432</v>
      </c>
      <c r="R4" s="7">
        <f t="shared" si="4"/>
        <v>729.216</v>
      </c>
      <c r="S4" s="6">
        <v>10000</v>
      </c>
      <c r="T4" s="51">
        <v>485</v>
      </c>
      <c r="U4" s="7">
        <f>T4*1.688</f>
        <v>818.68</v>
      </c>
      <c r="V4" s="6">
        <v>10000</v>
      </c>
      <c r="W4" s="51">
        <v>536</v>
      </c>
      <c r="X4" s="7">
        <f>W4*1.688</f>
        <v>904.7679999999999</v>
      </c>
      <c r="Y4" s="115">
        <v>9400</v>
      </c>
      <c r="Z4" s="54">
        <f>((Z5-Z3)/2)+Z3</f>
        <v>575</v>
      </c>
      <c r="AA4" s="7">
        <f>Z4*1.688</f>
        <v>970.6</v>
      </c>
      <c r="AB4" s="116">
        <v>4100</v>
      </c>
      <c r="AC4" s="112">
        <f>((AC5-AC3)/2)+AC3</f>
        <v>581.5</v>
      </c>
      <c r="AD4" s="7">
        <f>AC4*1.688</f>
        <v>981.572</v>
      </c>
      <c r="AF4" s="6">
        <v>10000</v>
      </c>
      <c r="AG4" s="7">
        <f aca="true" t="shared" si="10" ref="AG4:AG9">B4-10</f>
        <v>105</v>
      </c>
      <c r="AH4" s="7">
        <f t="shared" si="5"/>
        <v>177.23999999999998</v>
      </c>
      <c r="AI4" s="6">
        <v>10000</v>
      </c>
      <c r="AJ4" s="78">
        <f aca="true" t="shared" si="11" ref="AJ4:AJ9">B4*1.1</f>
        <v>126.50000000000001</v>
      </c>
      <c r="AK4" s="7">
        <f aca="true" t="shared" si="12" ref="AK4:AK19">AJ4*1.688</f>
        <v>213.532</v>
      </c>
      <c r="AL4" s="6">
        <v>10000</v>
      </c>
      <c r="AM4" s="78">
        <f>E4*1.1</f>
        <v>182.60000000000002</v>
      </c>
      <c r="AN4" s="7">
        <f t="shared" si="6"/>
        <v>308.22880000000004</v>
      </c>
      <c r="AO4" s="6">
        <v>10000</v>
      </c>
      <c r="AP4" s="78">
        <f>H4*1.1</f>
        <v>262.90000000000003</v>
      </c>
      <c r="AQ4" s="7">
        <f t="shared" si="7"/>
        <v>443.77520000000004</v>
      </c>
      <c r="AR4" s="6"/>
      <c r="AS4" s="6">
        <v>10000</v>
      </c>
      <c r="AT4" s="33">
        <v>115</v>
      </c>
      <c r="AU4" s="7">
        <f t="shared" si="8"/>
        <v>194.12</v>
      </c>
    </row>
    <row r="5" spans="1:47" ht="12.75">
      <c r="A5" s="6">
        <v>20000</v>
      </c>
      <c r="B5" s="33">
        <v>120</v>
      </c>
      <c r="C5" s="7">
        <f t="shared" si="0"/>
        <v>202.56</v>
      </c>
      <c r="D5" s="6">
        <v>20000</v>
      </c>
      <c r="E5" s="52">
        <v>227</v>
      </c>
      <c r="F5" s="7">
        <f t="shared" si="9"/>
        <v>383.176</v>
      </c>
      <c r="G5" s="6">
        <v>20000</v>
      </c>
      <c r="H5" s="52">
        <v>313</v>
      </c>
      <c r="I5" s="7">
        <f t="shared" si="1"/>
        <v>528.3439999999999</v>
      </c>
      <c r="J5" s="6">
        <v>20000</v>
      </c>
      <c r="K5" s="52">
        <v>394</v>
      </c>
      <c r="L5" s="7">
        <f t="shared" si="2"/>
        <v>665.072</v>
      </c>
      <c r="M5" s="6">
        <v>20000</v>
      </c>
      <c r="N5" s="52">
        <v>466</v>
      </c>
      <c r="O5" s="7">
        <f t="shared" si="3"/>
        <v>786.608</v>
      </c>
      <c r="P5" s="6">
        <v>20000</v>
      </c>
      <c r="Q5" s="52">
        <v>540</v>
      </c>
      <c r="R5" s="7">
        <f t="shared" si="4"/>
        <v>911.52</v>
      </c>
      <c r="S5" s="6">
        <v>17500</v>
      </c>
      <c r="T5" s="54">
        <f>((T6-T4)/2)+T4</f>
        <v>573.5</v>
      </c>
      <c r="U5" s="7">
        <f>T5*1.688</f>
        <v>968.068</v>
      </c>
      <c r="V5" s="6">
        <v>13200</v>
      </c>
      <c r="W5" s="54">
        <f>((W6-W4)/2)+W4</f>
        <v>583.5</v>
      </c>
      <c r="X5" s="7">
        <f>W5*1.688</f>
        <v>984.948</v>
      </c>
      <c r="Y5" s="8">
        <v>0</v>
      </c>
      <c r="Z5" s="51">
        <v>674</v>
      </c>
      <c r="AA5" s="7">
        <f>Z5*1.688</f>
        <v>1137.712</v>
      </c>
      <c r="AB5" s="8">
        <v>0</v>
      </c>
      <c r="AC5" s="56">
        <v>648</v>
      </c>
      <c r="AD5" s="7">
        <f>AC5*1.688</f>
        <v>1093.824</v>
      </c>
      <c r="AF5" s="6">
        <v>20000</v>
      </c>
      <c r="AG5" s="7">
        <f t="shared" si="10"/>
        <v>110</v>
      </c>
      <c r="AH5" s="7">
        <f t="shared" si="5"/>
        <v>185.68</v>
      </c>
      <c r="AI5" s="6">
        <v>20000</v>
      </c>
      <c r="AJ5" s="78">
        <f t="shared" si="11"/>
        <v>132</v>
      </c>
      <c r="AK5" s="7">
        <f t="shared" si="12"/>
        <v>222.816</v>
      </c>
      <c r="AL5" s="6">
        <v>20000</v>
      </c>
      <c r="AM5" s="78">
        <f>E5*1.1</f>
        <v>249.70000000000002</v>
      </c>
      <c r="AN5" s="7">
        <f t="shared" si="6"/>
        <v>421.4936</v>
      </c>
      <c r="AO5" s="6">
        <v>20000</v>
      </c>
      <c r="AP5" s="78">
        <f>H5*1.1</f>
        <v>344.3</v>
      </c>
      <c r="AQ5" s="7">
        <f t="shared" si="7"/>
        <v>581.1784</v>
      </c>
      <c r="AR5" s="6"/>
      <c r="AS5" s="6">
        <v>20000</v>
      </c>
      <c r="AT5" s="33">
        <v>120</v>
      </c>
      <c r="AU5" s="7">
        <f t="shared" si="8"/>
        <v>202.56</v>
      </c>
    </row>
    <row r="6" spans="1:47" ht="12.75">
      <c r="A6" s="21">
        <v>30000</v>
      </c>
      <c r="B6" s="33">
        <v>176</v>
      </c>
      <c r="C6" s="7">
        <f t="shared" si="0"/>
        <v>297.08799999999997</v>
      </c>
      <c r="D6" s="21">
        <v>30000</v>
      </c>
      <c r="E6" s="38">
        <v>305</v>
      </c>
      <c r="F6" s="7">
        <f t="shared" si="9"/>
        <v>514.84</v>
      </c>
      <c r="G6" s="21">
        <v>30000</v>
      </c>
      <c r="H6" s="38">
        <v>412</v>
      </c>
      <c r="I6" s="7">
        <f t="shared" si="1"/>
        <v>695.456</v>
      </c>
      <c r="J6" s="21">
        <v>30000</v>
      </c>
      <c r="K6" s="51">
        <v>500</v>
      </c>
      <c r="L6" s="7">
        <f t="shared" si="2"/>
        <v>844</v>
      </c>
      <c r="M6" s="21">
        <v>27000</v>
      </c>
      <c r="N6" s="54">
        <f>((N7-N5)/2)+N5</f>
        <v>577</v>
      </c>
      <c r="O6" s="7">
        <f t="shared" si="3"/>
        <v>973.976</v>
      </c>
      <c r="P6" s="21">
        <v>21000</v>
      </c>
      <c r="Q6" s="54">
        <f>((Q7-Q5)/2)+Q5</f>
        <v>571</v>
      </c>
      <c r="R6" s="7">
        <f t="shared" si="4"/>
        <v>963.848</v>
      </c>
      <c r="S6" s="6">
        <v>10000</v>
      </c>
      <c r="T6" s="51">
        <v>662</v>
      </c>
      <c r="U6" s="7">
        <f>T6*1.688</f>
        <v>1117.456</v>
      </c>
      <c r="V6" s="6">
        <v>10000</v>
      </c>
      <c r="W6" s="51">
        <v>631</v>
      </c>
      <c r="X6" s="7">
        <f>W6*1.688</f>
        <v>1065.128</v>
      </c>
      <c r="Y6" s="6"/>
      <c r="Z6" s="51"/>
      <c r="AA6" s="7"/>
      <c r="AB6" s="6"/>
      <c r="AC6" s="7"/>
      <c r="AD6" s="7"/>
      <c r="AF6" s="21">
        <v>30000</v>
      </c>
      <c r="AG6" s="7">
        <f t="shared" si="10"/>
        <v>166</v>
      </c>
      <c r="AH6" s="7">
        <f t="shared" si="5"/>
        <v>280.20799999999997</v>
      </c>
      <c r="AI6" s="21">
        <v>30000</v>
      </c>
      <c r="AJ6" s="78">
        <f t="shared" si="11"/>
        <v>193.60000000000002</v>
      </c>
      <c r="AK6" s="7">
        <f t="shared" si="12"/>
        <v>326.7968</v>
      </c>
      <c r="AL6" s="21">
        <v>30000</v>
      </c>
      <c r="AM6" s="78">
        <f>E6*1.1</f>
        <v>335.5</v>
      </c>
      <c r="AN6" s="7">
        <f t="shared" si="6"/>
        <v>566.324</v>
      </c>
      <c r="AO6" s="21">
        <v>30000</v>
      </c>
      <c r="AP6" s="78">
        <f>H6*1.1</f>
        <v>453.20000000000005</v>
      </c>
      <c r="AQ6" s="7">
        <f t="shared" si="7"/>
        <v>765.0016</v>
      </c>
      <c r="AR6" s="21"/>
      <c r="AS6" s="21">
        <v>30000</v>
      </c>
      <c r="AT6" s="33">
        <v>176</v>
      </c>
      <c r="AU6" s="7">
        <f t="shared" si="8"/>
        <v>297.08799999999997</v>
      </c>
    </row>
    <row r="7" spans="1:47" ht="12.75">
      <c r="A7" s="13">
        <v>40000</v>
      </c>
      <c r="B7" s="52">
        <v>263</v>
      </c>
      <c r="C7" s="7">
        <f t="shared" si="0"/>
        <v>443.94399999999996</v>
      </c>
      <c r="D7" s="13">
        <v>40000</v>
      </c>
      <c r="E7" s="52">
        <v>425</v>
      </c>
      <c r="F7" s="7">
        <f t="shared" si="9"/>
        <v>717.4</v>
      </c>
      <c r="G7" s="13">
        <v>38500</v>
      </c>
      <c r="H7" s="112">
        <v>562</v>
      </c>
      <c r="I7" s="7">
        <f t="shared" si="1"/>
        <v>948.656</v>
      </c>
      <c r="J7" s="13">
        <v>32000</v>
      </c>
      <c r="K7" s="54">
        <f>((K8-K6)/2)+K6</f>
        <v>712.5</v>
      </c>
      <c r="L7" s="7">
        <f t="shared" si="2"/>
        <v>1202.7</v>
      </c>
      <c r="M7" s="13">
        <v>20000</v>
      </c>
      <c r="N7" s="33">
        <v>688</v>
      </c>
      <c r="O7" s="7">
        <f t="shared" si="3"/>
        <v>1161.344</v>
      </c>
      <c r="P7" s="13">
        <v>20000</v>
      </c>
      <c r="Q7" s="33">
        <v>602</v>
      </c>
      <c r="R7" s="7">
        <f t="shared" si="4"/>
        <v>1016.1759999999999</v>
      </c>
      <c r="S7" s="8">
        <v>0</v>
      </c>
      <c r="T7" s="54">
        <v>727</v>
      </c>
      <c r="U7" s="7">
        <f>T7*1.688</f>
        <v>1227.176</v>
      </c>
      <c r="V7" s="8">
        <v>0</v>
      </c>
      <c r="W7" s="54">
        <v>701</v>
      </c>
      <c r="X7" s="7">
        <f>W7*1.688</f>
        <v>1183.288</v>
      </c>
      <c r="Y7" s="6"/>
      <c r="Z7" s="51"/>
      <c r="AA7" s="7"/>
      <c r="AB7" s="6"/>
      <c r="AC7" s="7"/>
      <c r="AD7" s="7"/>
      <c r="AF7" s="13">
        <v>40000</v>
      </c>
      <c r="AG7" s="7">
        <f t="shared" si="10"/>
        <v>253</v>
      </c>
      <c r="AH7" s="7">
        <f t="shared" si="5"/>
        <v>427.06399999999996</v>
      </c>
      <c r="AI7" s="13">
        <v>40000</v>
      </c>
      <c r="AJ7" s="78">
        <f t="shared" si="11"/>
        <v>289.3</v>
      </c>
      <c r="AK7" s="7">
        <f t="shared" si="12"/>
        <v>488.3384</v>
      </c>
      <c r="AL7" s="13">
        <v>40000</v>
      </c>
      <c r="AM7" s="78">
        <f>E7*1.1</f>
        <v>467.50000000000006</v>
      </c>
      <c r="AN7" s="7">
        <f t="shared" si="6"/>
        <v>789.1400000000001</v>
      </c>
      <c r="AO7" s="13">
        <v>38500</v>
      </c>
      <c r="AP7" s="78">
        <f>H7*1.1</f>
        <v>618.2</v>
      </c>
      <c r="AQ7" s="7">
        <f t="shared" si="7"/>
        <v>1043.5216</v>
      </c>
      <c r="AR7" s="13"/>
      <c r="AS7" s="13">
        <v>40000</v>
      </c>
      <c r="AT7" s="52">
        <v>263</v>
      </c>
      <c r="AU7" s="7">
        <f t="shared" si="8"/>
        <v>443.94399999999996</v>
      </c>
    </row>
    <row r="8" spans="1:47" ht="12.75">
      <c r="A8" s="13">
        <v>50000</v>
      </c>
      <c r="B8" s="111">
        <v>390</v>
      </c>
      <c r="C8" s="7">
        <f t="shared" si="0"/>
        <v>658.3199999999999</v>
      </c>
      <c r="D8" s="13">
        <v>48000</v>
      </c>
      <c r="E8" s="54">
        <f>((E9-E7)/2)+E7</f>
        <v>848.5</v>
      </c>
      <c r="F8" s="7">
        <f t="shared" si="9"/>
        <v>1432.268</v>
      </c>
      <c r="G8" s="13">
        <v>40000</v>
      </c>
      <c r="H8" s="52">
        <v>1043</v>
      </c>
      <c r="I8" s="7">
        <f t="shared" si="1"/>
        <v>1760.5839999999998</v>
      </c>
      <c r="J8" s="13">
        <v>30000</v>
      </c>
      <c r="K8" s="38">
        <v>925</v>
      </c>
      <c r="L8" s="7">
        <f t="shared" si="2"/>
        <v>1561.3999999999999</v>
      </c>
      <c r="M8" s="13">
        <v>10000</v>
      </c>
      <c r="N8" s="52">
        <v>772</v>
      </c>
      <c r="O8" s="7">
        <f t="shared" si="3"/>
        <v>1303.136</v>
      </c>
      <c r="P8" s="13">
        <v>10000</v>
      </c>
      <c r="Q8" s="52">
        <v>708</v>
      </c>
      <c r="R8" s="7">
        <f t="shared" si="4"/>
        <v>1195.104</v>
      </c>
      <c r="S8" s="6"/>
      <c r="T8" s="51"/>
      <c r="U8" s="7"/>
      <c r="V8" s="6"/>
      <c r="W8" s="51"/>
      <c r="X8" s="7"/>
      <c r="Y8" s="6"/>
      <c r="Z8" s="51"/>
      <c r="AA8" s="7"/>
      <c r="AB8" s="13"/>
      <c r="AC8" s="33"/>
      <c r="AD8" s="7"/>
      <c r="AF8" s="13">
        <v>50000</v>
      </c>
      <c r="AG8" s="7">
        <f t="shared" si="10"/>
        <v>380</v>
      </c>
      <c r="AH8" s="7">
        <f t="shared" si="5"/>
        <v>641.4399999999999</v>
      </c>
      <c r="AI8" s="13">
        <v>50000</v>
      </c>
      <c r="AJ8" s="78">
        <f t="shared" si="11"/>
        <v>429.00000000000006</v>
      </c>
      <c r="AK8" s="7">
        <f t="shared" si="12"/>
        <v>724.152</v>
      </c>
      <c r="AL8" s="13">
        <v>48000</v>
      </c>
      <c r="AM8" s="112">
        <f>((AM9-AM7)/2)+AM7</f>
        <v>806.1500000000001</v>
      </c>
      <c r="AN8" s="7">
        <f t="shared" si="6"/>
        <v>1360.7812000000001</v>
      </c>
      <c r="AO8" s="13">
        <v>40000</v>
      </c>
      <c r="AP8" s="78">
        <f>H8*0.9</f>
        <v>938.7</v>
      </c>
      <c r="AQ8" s="7">
        <f t="shared" si="7"/>
        <v>1584.5256</v>
      </c>
      <c r="AR8" s="13"/>
      <c r="AS8" s="13">
        <v>50000</v>
      </c>
      <c r="AT8" s="111">
        <v>390</v>
      </c>
      <c r="AU8" s="7">
        <f t="shared" si="8"/>
        <v>658.3199999999999</v>
      </c>
    </row>
    <row r="9" spans="1:47" ht="12.75">
      <c r="A9" s="13">
        <v>60000</v>
      </c>
      <c r="B9" s="111">
        <v>476</v>
      </c>
      <c r="C9" s="7">
        <f t="shared" si="0"/>
        <v>803.4879999999999</v>
      </c>
      <c r="D9" s="13">
        <v>40000</v>
      </c>
      <c r="E9" s="33">
        <v>1272</v>
      </c>
      <c r="F9" s="7">
        <f t="shared" si="9"/>
        <v>2147.136</v>
      </c>
      <c r="G9" s="13">
        <v>30000</v>
      </c>
      <c r="H9" s="33">
        <v>1072</v>
      </c>
      <c r="I9" s="7">
        <f t="shared" si="1"/>
        <v>1809.5359999999998</v>
      </c>
      <c r="J9" s="13">
        <v>20000</v>
      </c>
      <c r="K9" s="51">
        <v>872</v>
      </c>
      <c r="L9" s="7">
        <f t="shared" si="2"/>
        <v>1471.936</v>
      </c>
      <c r="M9" s="100">
        <v>0</v>
      </c>
      <c r="N9" s="56">
        <v>767</v>
      </c>
      <c r="O9" s="7">
        <f t="shared" si="3"/>
        <v>1294.696</v>
      </c>
      <c r="P9" s="100">
        <v>0</v>
      </c>
      <c r="Q9" s="56">
        <v>748</v>
      </c>
      <c r="R9" s="7">
        <f t="shared" si="4"/>
        <v>1262.624</v>
      </c>
      <c r="S9" s="21"/>
      <c r="T9" s="51"/>
      <c r="U9" s="7"/>
      <c r="V9" s="21"/>
      <c r="W9" s="51"/>
      <c r="X9" s="7"/>
      <c r="Y9" s="21"/>
      <c r="Z9" s="2"/>
      <c r="AA9" s="7"/>
      <c r="AB9" s="20"/>
      <c r="AC9" s="33"/>
      <c r="AD9" s="7"/>
      <c r="AF9" s="13">
        <v>60000</v>
      </c>
      <c r="AG9" s="7">
        <f t="shared" si="10"/>
        <v>466</v>
      </c>
      <c r="AH9" s="7">
        <f t="shared" si="5"/>
        <v>786.608</v>
      </c>
      <c r="AI9" s="13">
        <v>60000</v>
      </c>
      <c r="AJ9" s="78">
        <f t="shared" si="11"/>
        <v>523.6</v>
      </c>
      <c r="AK9" s="7">
        <f t="shared" si="12"/>
        <v>883.8368</v>
      </c>
      <c r="AL9" s="13">
        <v>40000</v>
      </c>
      <c r="AM9" s="78">
        <f>E9*0.9</f>
        <v>1144.8</v>
      </c>
      <c r="AN9" s="7">
        <f t="shared" si="6"/>
        <v>1932.4224</v>
      </c>
      <c r="AO9" s="13">
        <v>30000</v>
      </c>
      <c r="AP9" s="78">
        <f>H9*0.9</f>
        <v>964.8000000000001</v>
      </c>
      <c r="AQ9" s="7">
        <f t="shared" si="7"/>
        <v>1628.5824</v>
      </c>
      <c r="AR9" s="13"/>
      <c r="AS9" s="13">
        <v>60000</v>
      </c>
      <c r="AT9" s="111">
        <v>476</v>
      </c>
      <c r="AU9" s="7">
        <f t="shared" si="8"/>
        <v>803.4879999999999</v>
      </c>
    </row>
    <row r="10" spans="1:47" ht="12.75">
      <c r="A10" s="13">
        <v>62000</v>
      </c>
      <c r="B10" s="55">
        <f>((B11-B9)/2)+B9</f>
        <v>955</v>
      </c>
      <c r="C10" s="7">
        <f t="shared" si="0"/>
        <v>1612.04</v>
      </c>
      <c r="D10" s="13">
        <v>30000</v>
      </c>
      <c r="E10" s="33">
        <v>1119</v>
      </c>
      <c r="F10" s="7">
        <f t="shared" si="9"/>
        <v>1888.8719999999998</v>
      </c>
      <c r="G10" s="13">
        <v>20000</v>
      </c>
      <c r="H10" s="33">
        <v>903</v>
      </c>
      <c r="I10" s="7">
        <f t="shared" si="1"/>
        <v>1524.264</v>
      </c>
      <c r="J10" s="13">
        <v>10000</v>
      </c>
      <c r="K10" s="51">
        <v>812</v>
      </c>
      <c r="L10" s="7">
        <f t="shared" si="2"/>
        <v>1370.656</v>
      </c>
      <c r="N10" s="51"/>
      <c r="O10" s="7"/>
      <c r="P10" s="13"/>
      <c r="Q10" s="51"/>
      <c r="R10" s="7"/>
      <c r="S10" s="13"/>
      <c r="T10" s="51"/>
      <c r="U10" s="7"/>
      <c r="V10" s="21"/>
      <c r="W10" s="2"/>
      <c r="X10" s="7"/>
      <c r="Y10" s="20"/>
      <c r="Z10" s="33"/>
      <c r="AA10" s="7"/>
      <c r="AB10" s="13"/>
      <c r="AC10" s="33"/>
      <c r="AD10" s="7"/>
      <c r="AF10" s="13">
        <v>63000</v>
      </c>
      <c r="AG10" s="7">
        <f>B10+10</f>
        <v>965</v>
      </c>
      <c r="AH10" s="7">
        <f t="shared" si="5"/>
        <v>1628.9199999999998</v>
      </c>
      <c r="AI10" s="13">
        <v>62000</v>
      </c>
      <c r="AJ10" s="112">
        <f>((AJ11-AJ9)/2)+AJ9</f>
        <v>907.1000000000001</v>
      </c>
      <c r="AK10" s="7">
        <f t="shared" si="12"/>
        <v>1531.1848000000002</v>
      </c>
      <c r="AL10" s="13">
        <v>30000</v>
      </c>
      <c r="AM10" s="78">
        <f>E10*0.9</f>
        <v>1007.1</v>
      </c>
      <c r="AN10" s="7">
        <f t="shared" si="6"/>
        <v>1699.9848</v>
      </c>
      <c r="AO10" s="13">
        <v>20000</v>
      </c>
      <c r="AP10" s="78">
        <f>H10*0.9</f>
        <v>812.7</v>
      </c>
      <c r="AQ10" s="7">
        <f t="shared" si="7"/>
        <v>1371.8376</v>
      </c>
      <c r="AR10" s="13"/>
      <c r="AS10" s="13">
        <v>62000</v>
      </c>
      <c r="AT10" s="55">
        <f>((AT11-AT9)/2)+AT9</f>
        <v>955</v>
      </c>
      <c r="AU10" s="7">
        <f t="shared" si="8"/>
        <v>1612.04</v>
      </c>
    </row>
    <row r="11" spans="1:47" ht="12.75">
      <c r="A11" s="13">
        <v>60000</v>
      </c>
      <c r="B11" s="52">
        <v>1434</v>
      </c>
      <c r="C11" s="7">
        <f t="shared" si="0"/>
        <v>2420.592</v>
      </c>
      <c r="D11" s="13">
        <v>20000</v>
      </c>
      <c r="E11" s="33">
        <v>909</v>
      </c>
      <c r="F11" s="7">
        <f t="shared" si="9"/>
        <v>1534.392</v>
      </c>
      <c r="G11" s="13">
        <v>10000</v>
      </c>
      <c r="H11" s="33">
        <v>825</v>
      </c>
      <c r="I11" s="7">
        <f t="shared" si="1"/>
        <v>1392.6</v>
      </c>
      <c r="J11" s="100">
        <v>0</v>
      </c>
      <c r="K11" s="56">
        <v>772</v>
      </c>
      <c r="L11" s="7">
        <f t="shared" si="2"/>
        <v>1303.136</v>
      </c>
      <c r="N11" s="51"/>
      <c r="O11" s="7"/>
      <c r="P11" s="21"/>
      <c r="Q11" s="2"/>
      <c r="R11" s="7"/>
      <c r="S11" s="20"/>
      <c r="T11" s="33"/>
      <c r="U11" s="7"/>
      <c r="V11" s="21"/>
      <c r="W11" s="33"/>
      <c r="X11" s="7"/>
      <c r="Y11" s="13"/>
      <c r="Z11" s="33"/>
      <c r="AA11" s="7"/>
      <c r="AB11" s="20"/>
      <c r="AC11" s="33"/>
      <c r="AD11" s="7"/>
      <c r="AF11" s="13">
        <v>60000</v>
      </c>
      <c r="AG11" s="7">
        <f aca="true" t="shared" si="13" ref="AG11:AG19">B11+10</f>
        <v>1444</v>
      </c>
      <c r="AH11" s="7">
        <f t="shared" si="5"/>
        <v>2437.4719999999998</v>
      </c>
      <c r="AI11" s="13">
        <v>60000</v>
      </c>
      <c r="AJ11" s="78">
        <f>B11*0.9</f>
        <v>1290.6000000000001</v>
      </c>
      <c r="AK11" s="7">
        <f t="shared" si="12"/>
        <v>2178.5328</v>
      </c>
      <c r="AL11" s="13">
        <v>20000</v>
      </c>
      <c r="AM11" s="78">
        <f>E11*0.9</f>
        <v>818.1</v>
      </c>
      <c r="AN11" s="7">
        <f t="shared" si="6"/>
        <v>1380.9528</v>
      </c>
      <c r="AO11" s="13">
        <v>10000</v>
      </c>
      <c r="AP11" s="78">
        <f>H11*0.9</f>
        <v>742.5</v>
      </c>
      <c r="AQ11" s="7">
        <f t="shared" si="7"/>
        <v>1253.34</v>
      </c>
      <c r="AR11" s="100"/>
      <c r="AS11" s="13">
        <v>60000</v>
      </c>
      <c r="AT11" s="52">
        <v>1434</v>
      </c>
      <c r="AU11" s="7">
        <f t="shared" si="8"/>
        <v>2420.592</v>
      </c>
    </row>
    <row r="12" spans="1:47" ht="12.75">
      <c r="A12" s="20">
        <v>50000</v>
      </c>
      <c r="B12" s="33">
        <v>1434</v>
      </c>
      <c r="C12" s="7">
        <f t="shared" si="0"/>
        <v>2420.592</v>
      </c>
      <c r="D12" s="13">
        <v>10000</v>
      </c>
      <c r="E12" s="33">
        <v>818</v>
      </c>
      <c r="F12" s="7">
        <f t="shared" si="9"/>
        <v>1380.7839999999999</v>
      </c>
      <c r="G12" s="100">
        <v>0</v>
      </c>
      <c r="H12" s="55">
        <v>772</v>
      </c>
      <c r="I12" s="7">
        <f t="shared" si="1"/>
        <v>1303.136</v>
      </c>
      <c r="J12" s="20"/>
      <c r="K12" s="38"/>
      <c r="L12" s="7"/>
      <c r="M12" s="20"/>
      <c r="N12" s="2"/>
      <c r="O12" s="7"/>
      <c r="P12" s="20"/>
      <c r="Q12" s="33"/>
      <c r="R12" s="7"/>
      <c r="S12" s="13"/>
      <c r="T12" s="33"/>
      <c r="U12" s="7"/>
      <c r="V12" s="20"/>
      <c r="W12" s="33"/>
      <c r="X12" s="7"/>
      <c r="Y12" s="20"/>
      <c r="Z12" s="33"/>
      <c r="AA12" s="7"/>
      <c r="AB12" s="100"/>
      <c r="AD12" s="7"/>
      <c r="AF12" s="20">
        <v>50000</v>
      </c>
      <c r="AG12" s="7">
        <f t="shared" si="13"/>
        <v>1444</v>
      </c>
      <c r="AH12" s="7">
        <f t="shared" si="5"/>
        <v>2437.4719999999998</v>
      </c>
      <c r="AI12" s="20">
        <v>50000</v>
      </c>
      <c r="AJ12" s="78">
        <f aca="true" t="shared" si="14" ref="AJ12:AJ19">B12*0.9</f>
        <v>1290.6000000000001</v>
      </c>
      <c r="AK12" s="7">
        <f t="shared" si="12"/>
        <v>2178.5328</v>
      </c>
      <c r="AL12" s="13">
        <v>10000</v>
      </c>
      <c r="AM12" s="78">
        <f>E12*0.9</f>
        <v>736.2</v>
      </c>
      <c r="AN12" s="7">
        <f t="shared" si="6"/>
        <v>1242.7056</v>
      </c>
      <c r="AO12" s="100">
        <v>0</v>
      </c>
      <c r="AP12" s="78">
        <f>H12*0.9</f>
        <v>694.8000000000001</v>
      </c>
      <c r="AQ12" s="7">
        <f t="shared" si="7"/>
        <v>1172.8224</v>
      </c>
      <c r="AR12" s="13"/>
      <c r="AS12" s="20">
        <v>50000</v>
      </c>
      <c r="AT12" s="33">
        <v>1434</v>
      </c>
      <c r="AU12" s="7">
        <f t="shared" si="8"/>
        <v>2420.592</v>
      </c>
    </row>
    <row r="13" spans="1:47" ht="12.75">
      <c r="A13" s="20">
        <v>45000</v>
      </c>
      <c r="B13" s="33">
        <v>1434</v>
      </c>
      <c r="C13" s="7">
        <f t="shared" si="0"/>
        <v>2420.592</v>
      </c>
      <c r="D13" s="100">
        <v>0</v>
      </c>
      <c r="E13" s="55">
        <v>772</v>
      </c>
      <c r="F13" s="7">
        <f t="shared" si="9"/>
        <v>1303.136</v>
      </c>
      <c r="G13" s="113"/>
      <c r="H13" s="55"/>
      <c r="I13" s="56"/>
      <c r="J13" s="13"/>
      <c r="K13" s="2"/>
      <c r="L13" s="7"/>
      <c r="M13" s="13"/>
      <c r="N13" s="33"/>
      <c r="O13" s="7"/>
      <c r="P13" s="13"/>
      <c r="Q13" s="33"/>
      <c r="R13" s="7"/>
      <c r="S13" s="20"/>
      <c r="T13" s="33"/>
      <c r="U13" s="7"/>
      <c r="V13" s="13"/>
      <c r="W13" s="33"/>
      <c r="X13" s="7"/>
      <c r="Y13" s="13"/>
      <c r="Z13" s="33"/>
      <c r="AA13" s="7"/>
      <c r="AF13" s="20">
        <v>45000</v>
      </c>
      <c r="AG13" s="7">
        <f t="shared" si="13"/>
        <v>1444</v>
      </c>
      <c r="AH13" s="7">
        <f t="shared" si="5"/>
        <v>2437.4719999999998</v>
      </c>
      <c r="AI13" s="20">
        <v>45000</v>
      </c>
      <c r="AJ13" s="78">
        <f t="shared" si="14"/>
        <v>1290.6000000000001</v>
      </c>
      <c r="AK13" s="7">
        <f t="shared" si="12"/>
        <v>2178.5328</v>
      </c>
      <c r="AL13" s="100">
        <v>0</v>
      </c>
      <c r="AM13" s="78">
        <f>E13*0.9</f>
        <v>694.8000000000001</v>
      </c>
      <c r="AN13" s="7">
        <f t="shared" si="6"/>
        <v>1172.8224</v>
      </c>
      <c r="AO13" s="13"/>
      <c r="AQ13" s="7"/>
      <c r="AR13" s="20"/>
      <c r="AS13" s="20">
        <v>45000</v>
      </c>
      <c r="AT13" s="33">
        <v>1434</v>
      </c>
      <c r="AU13" s="7">
        <f t="shared" si="8"/>
        <v>2420.592</v>
      </c>
    </row>
    <row r="14" spans="1:47" ht="12.75">
      <c r="A14" s="13">
        <v>40000</v>
      </c>
      <c r="B14" s="33">
        <v>1365</v>
      </c>
      <c r="C14" s="7">
        <f aca="true" t="shared" si="15" ref="C14:C19">B14*1.688</f>
        <v>2304.12</v>
      </c>
      <c r="D14" s="55"/>
      <c r="E14" s="55"/>
      <c r="F14" s="56"/>
      <c r="G14" s="55"/>
      <c r="H14" s="55"/>
      <c r="I14" s="55"/>
      <c r="J14" s="20"/>
      <c r="K14" s="33"/>
      <c r="L14" s="7"/>
      <c r="M14" s="20"/>
      <c r="N14" s="33"/>
      <c r="O14" s="7"/>
      <c r="P14" s="20"/>
      <c r="Q14" s="33"/>
      <c r="R14" s="7"/>
      <c r="S14" s="13"/>
      <c r="T14" s="33"/>
      <c r="U14" s="7"/>
      <c r="V14" s="20"/>
      <c r="W14" s="33"/>
      <c r="X14" s="7"/>
      <c r="Y14" s="20"/>
      <c r="Z14" s="33"/>
      <c r="AA14" s="7"/>
      <c r="AF14" s="13">
        <v>40000</v>
      </c>
      <c r="AG14" s="7">
        <f t="shared" si="13"/>
        <v>1375</v>
      </c>
      <c r="AH14" s="7">
        <f t="shared" si="5"/>
        <v>2321</v>
      </c>
      <c r="AI14" s="13">
        <v>40000</v>
      </c>
      <c r="AJ14" s="78">
        <f t="shared" si="14"/>
        <v>1228.5</v>
      </c>
      <c r="AK14" s="7">
        <f t="shared" si="12"/>
        <v>2073.708</v>
      </c>
      <c r="AL14" s="20"/>
      <c r="AN14" s="7"/>
      <c r="AO14" s="13"/>
      <c r="AQ14" s="7"/>
      <c r="AR14" s="20"/>
      <c r="AS14" s="13">
        <v>40000</v>
      </c>
      <c r="AT14" s="33">
        <v>1365</v>
      </c>
      <c r="AU14" s="7">
        <f aca="true" t="shared" si="16" ref="AU14:AU19">AT14*1.688</f>
        <v>2304.12</v>
      </c>
    </row>
    <row r="15" spans="1:47" ht="12.75">
      <c r="A15" s="20">
        <v>34000</v>
      </c>
      <c r="B15" s="33">
        <v>1291</v>
      </c>
      <c r="C15" s="7">
        <f t="shared" si="15"/>
        <v>2179.208</v>
      </c>
      <c r="D15" s="55"/>
      <c r="E15" s="55"/>
      <c r="F15" s="56"/>
      <c r="G15" s="55"/>
      <c r="H15" s="55"/>
      <c r="I15" s="55"/>
      <c r="K15" s="33"/>
      <c r="L15" s="7"/>
      <c r="M15" s="13"/>
      <c r="N15" s="33"/>
      <c r="O15" s="7"/>
      <c r="P15" s="13"/>
      <c r="Q15" s="33"/>
      <c r="R15" s="7"/>
      <c r="S15" s="20"/>
      <c r="T15" s="33"/>
      <c r="U15" s="7"/>
      <c r="V15" s="13"/>
      <c r="W15" s="33"/>
      <c r="X15" s="7"/>
      <c r="Y15" s="100"/>
      <c r="AA15" s="7"/>
      <c r="AF15" s="20">
        <v>34000</v>
      </c>
      <c r="AG15" s="7">
        <f t="shared" si="13"/>
        <v>1301</v>
      </c>
      <c r="AH15" s="7">
        <f t="shared" si="5"/>
        <v>2196.0879999999997</v>
      </c>
      <c r="AI15" s="20">
        <v>34000</v>
      </c>
      <c r="AJ15" s="78">
        <f t="shared" si="14"/>
        <v>1161.9</v>
      </c>
      <c r="AK15" s="7">
        <f t="shared" si="12"/>
        <v>1961.2872</v>
      </c>
      <c r="AL15" s="13"/>
      <c r="AM15" s="8"/>
      <c r="AN15" s="7"/>
      <c r="AO15" s="20"/>
      <c r="AQ15" s="7"/>
      <c r="AR15" s="13"/>
      <c r="AS15" s="20">
        <v>34000</v>
      </c>
      <c r="AT15" s="33">
        <v>1291</v>
      </c>
      <c r="AU15" s="7">
        <f t="shared" si="16"/>
        <v>2179.208</v>
      </c>
    </row>
    <row r="16" spans="1:47" ht="12.75">
      <c r="A16" s="13">
        <v>30000</v>
      </c>
      <c r="B16" s="33">
        <v>1187</v>
      </c>
      <c r="C16" s="7">
        <f t="shared" si="15"/>
        <v>2003.656</v>
      </c>
      <c r="D16" s="55"/>
      <c r="E16" s="55"/>
      <c r="F16" s="56"/>
      <c r="G16" s="55"/>
      <c r="H16" s="55"/>
      <c r="I16" s="55"/>
      <c r="K16" s="33"/>
      <c r="L16" s="7"/>
      <c r="M16" s="20"/>
      <c r="N16" s="33"/>
      <c r="O16" s="7"/>
      <c r="P16" s="20"/>
      <c r="Q16" s="33"/>
      <c r="R16" s="7"/>
      <c r="S16" s="13"/>
      <c r="T16" s="33"/>
      <c r="U16" s="7"/>
      <c r="V16" s="20"/>
      <c r="W16" s="33"/>
      <c r="X16" s="7"/>
      <c r="AF16" s="13">
        <v>30000</v>
      </c>
      <c r="AG16" s="7">
        <f t="shared" si="13"/>
        <v>1197</v>
      </c>
      <c r="AH16" s="7">
        <f t="shared" si="5"/>
        <v>2020.5359999999998</v>
      </c>
      <c r="AI16" s="13">
        <v>30000</v>
      </c>
      <c r="AJ16" s="78">
        <f t="shared" si="14"/>
        <v>1068.3</v>
      </c>
      <c r="AK16" s="7">
        <f t="shared" si="12"/>
        <v>1803.2903999999999</v>
      </c>
      <c r="AL16" s="20"/>
      <c r="AN16" s="7"/>
      <c r="AO16" s="13"/>
      <c r="AQ16" s="7"/>
      <c r="AR16" s="20"/>
      <c r="AS16" s="13">
        <v>30000</v>
      </c>
      <c r="AT16" s="33">
        <v>1187</v>
      </c>
      <c r="AU16" s="7">
        <f t="shared" si="16"/>
        <v>2003.656</v>
      </c>
    </row>
    <row r="17" spans="1:47" ht="12.75">
      <c r="A17" s="13">
        <v>20000</v>
      </c>
      <c r="B17" s="33">
        <v>1022</v>
      </c>
      <c r="C17" s="7">
        <f t="shared" si="15"/>
        <v>1725.136</v>
      </c>
      <c r="D17" s="55"/>
      <c r="E17" s="55"/>
      <c r="F17" s="56"/>
      <c r="G17" s="55"/>
      <c r="H17" s="55"/>
      <c r="I17" s="55"/>
      <c r="K17" s="33"/>
      <c r="L17" s="7"/>
      <c r="M17" s="13"/>
      <c r="N17" s="33"/>
      <c r="O17" s="7"/>
      <c r="P17" s="13"/>
      <c r="Q17" s="33"/>
      <c r="R17" s="7"/>
      <c r="S17" s="20"/>
      <c r="T17" s="33"/>
      <c r="U17" s="7"/>
      <c r="V17" s="100"/>
      <c r="X17" s="7"/>
      <c r="AF17" s="13">
        <v>20000</v>
      </c>
      <c r="AG17" s="7">
        <f t="shared" si="13"/>
        <v>1032</v>
      </c>
      <c r="AH17" s="7">
        <f t="shared" si="5"/>
        <v>1742.0159999999998</v>
      </c>
      <c r="AI17" s="13">
        <v>20000</v>
      </c>
      <c r="AJ17" s="78">
        <f t="shared" si="14"/>
        <v>919.8000000000001</v>
      </c>
      <c r="AK17" s="7">
        <f t="shared" si="12"/>
        <v>1552.6224</v>
      </c>
      <c r="AL17" s="13"/>
      <c r="AN17" s="7"/>
      <c r="AO17" s="20"/>
      <c r="AQ17" s="7"/>
      <c r="AR17" s="13"/>
      <c r="AS17" s="13">
        <v>20000</v>
      </c>
      <c r="AT17" s="33">
        <v>1022</v>
      </c>
      <c r="AU17" s="7">
        <f t="shared" si="16"/>
        <v>1725.136</v>
      </c>
    </row>
    <row r="18" spans="1:47" ht="12.75">
      <c r="A18" s="13">
        <v>10000</v>
      </c>
      <c r="B18" s="33">
        <v>906</v>
      </c>
      <c r="C18" s="7">
        <f t="shared" si="15"/>
        <v>1529.328</v>
      </c>
      <c r="D18" s="55"/>
      <c r="E18" s="55"/>
      <c r="F18" s="55" t="s">
        <v>477</v>
      </c>
      <c r="G18" s="114"/>
      <c r="H18" s="55"/>
      <c r="I18" s="56"/>
      <c r="K18" s="33"/>
      <c r="L18" s="7"/>
      <c r="M18" s="20"/>
      <c r="N18" s="33"/>
      <c r="O18" s="7"/>
      <c r="P18" s="20"/>
      <c r="Q18" s="33"/>
      <c r="R18" s="7"/>
      <c r="S18" s="100"/>
      <c r="U18" s="7"/>
      <c r="AF18" s="13">
        <v>10000</v>
      </c>
      <c r="AG18" s="7">
        <f t="shared" si="13"/>
        <v>916</v>
      </c>
      <c r="AH18" s="7">
        <f t="shared" si="5"/>
        <v>1546.2079999999999</v>
      </c>
      <c r="AI18" s="13">
        <v>10000</v>
      </c>
      <c r="AJ18" s="78">
        <f t="shared" si="14"/>
        <v>815.4</v>
      </c>
      <c r="AK18" s="7">
        <f t="shared" si="12"/>
        <v>1376.3952</v>
      </c>
      <c r="AL18" s="20"/>
      <c r="AN18" s="7"/>
      <c r="AO18" s="13"/>
      <c r="AQ18" s="7"/>
      <c r="AR18" s="20"/>
      <c r="AS18" s="13">
        <v>10000</v>
      </c>
      <c r="AT18" s="33">
        <v>906</v>
      </c>
      <c r="AU18" s="7">
        <f t="shared" si="16"/>
        <v>1529.328</v>
      </c>
    </row>
    <row r="19" spans="1:47" ht="12.75">
      <c r="A19" s="100">
        <v>0</v>
      </c>
      <c r="B19" s="55">
        <v>800</v>
      </c>
      <c r="C19" s="7">
        <f t="shared" si="15"/>
        <v>1350.3999999999999</v>
      </c>
      <c r="D19" s="55"/>
      <c r="E19" s="55"/>
      <c r="F19" s="56"/>
      <c r="G19" s="55"/>
      <c r="H19" s="55"/>
      <c r="I19" s="56"/>
      <c r="K19" s="33"/>
      <c r="L19" s="7"/>
      <c r="M19" s="13"/>
      <c r="N19" s="33"/>
      <c r="O19" s="7"/>
      <c r="P19" s="100"/>
      <c r="R19" s="7"/>
      <c r="AF19" s="100">
        <v>0</v>
      </c>
      <c r="AG19" s="7">
        <f t="shared" si="13"/>
        <v>810</v>
      </c>
      <c r="AH19" s="7">
        <f t="shared" si="5"/>
        <v>1367.28</v>
      </c>
      <c r="AI19" s="100">
        <v>0</v>
      </c>
      <c r="AJ19" s="78">
        <f t="shared" si="14"/>
        <v>720</v>
      </c>
      <c r="AK19" s="7">
        <f t="shared" si="12"/>
        <v>1215.36</v>
      </c>
      <c r="AL19" s="13"/>
      <c r="AN19" s="7"/>
      <c r="AO19" s="20"/>
      <c r="AQ19" s="7"/>
      <c r="AR19" s="13"/>
      <c r="AS19" s="100">
        <v>0</v>
      </c>
      <c r="AT19" s="55">
        <v>800</v>
      </c>
      <c r="AU19" s="7">
        <f t="shared" si="16"/>
        <v>1350.3999999999999</v>
      </c>
    </row>
    <row r="20" spans="3:50" ht="12.75">
      <c r="C20" s="7"/>
      <c r="E20" s="33"/>
      <c r="F20" s="7"/>
      <c r="G20" s="55"/>
      <c r="H20" s="55"/>
      <c r="I20" s="56"/>
      <c r="K20" s="33"/>
      <c r="L20" s="7"/>
      <c r="M20" s="20"/>
      <c r="N20" s="33"/>
      <c r="O20" s="7"/>
      <c r="V20" s="8"/>
      <c r="AF20" s="20"/>
      <c r="AG20" s="7"/>
      <c r="AH20" s="7"/>
      <c r="AI20" s="20"/>
      <c r="AK20" s="7"/>
      <c r="AL20" s="20"/>
      <c r="AN20" s="7"/>
      <c r="AO20" s="13"/>
      <c r="AQ20" s="7"/>
      <c r="AR20" s="20"/>
      <c r="AT20" s="7"/>
      <c r="AV20" s="20"/>
      <c r="AW20" s="33"/>
      <c r="AX20" s="7"/>
    </row>
    <row r="21" spans="4:50" ht="12.75">
      <c r="D21" s="13"/>
      <c r="E21" s="33"/>
      <c r="F21" s="7"/>
      <c r="G21" s="13"/>
      <c r="H21" s="33"/>
      <c r="I21" s="7"/>
      <c r="J21" s="13"/>
      <c r="K21" s="33"/>
      <c r="L21" s="7"/>
      <c r="M21" s="100"/>
      <c r="O21" s="7"/>
      <c r="U21" s="8"/>
      <c r="V21" s="22"/>
      <c r="W21" s="22"/>
      <c r="X21" s="8"/>
      <c r="AF21" s="13"/>
      <c r="AG21" s="7"/>
      <c r="AH21" s="7"/>
      <c r="AI21" s="13"/>
      <c r="AK21" s="7"/>
      <c r="AL21" s="13"/>
      <c r="AN21" s="7"/>
      <c r="AO21" s="20"/>
      <c r="AQ21" s="7"/>
      <c r="AR21" s="13"/>
      <c r="AT21" s="7"/>
      <c r="AV21" s="13"/>
      <c r="AW21" s="33"/>
      <c r="AX21" s="7"/>
    </row>
    <row r="22" spans="4:50" ht="12.75">
      <c r="D22" s="20"/>
      <c r="E22" s="33"/>
      <c r="F22" s="7"/>
      <c r="G22" s="20"/>
      <c r="H22" s="33"/>
      <c r="I22" s="7"/>
      <c r="J22" s="20"/>
      <c r="K22" s="33"/>
      <c r="L22" s="7"/>
      <c r="R22" s="11"/>
      <c r="U22" s="8"/>
      <c r="V22" s="8"/>
      <c r="W22" s="8"/>
      <c r="X22" s="22"/>
      <c r="AF22" t="s">
        <v>203</v>
      </c>
      <c r="AG22" s="7"/>
      <c r="AH22" s="7"/>
      <c r="AI22" s="20"/>
      <c r="AJ22" t="s">
        <v>814</v>
      </c>
      <c r="AK22" s="7"/>
      <c r="AL22" s="20"/>
      <c r="AN22" s="7"/>
      <c r="AO22" s="13"/>
      <c r="AQ22" s="7"/>
      <c r="AR22" s="20"/>
      <c r="AT22" s="7"/>
      <c r="AV22" s="20"/>
      <c r="AW22" s="33"/>
      <c r="AX22" s="7"/>
    </row>
    <row r="23" spans="1:50" ht="12.75">
      <c r="A23" t="s">
        <v>492</v>
      </c>
      <c r="J23" s="100"/>
      <c r="K23" s="16" t="s">
        <v>794</v>
      </c>
      <c r="L23" s="7"/>
      <c r="O23" s="105"/>
      <c r="S23" s="55"/>
      <c r="U23" s="8"/>
      <c r="V23" s="7"/>
      <c r="W23" s="7"/>
      <c r="X23" s="8"/>
      <c r="AF23" t="s">
        <v>204</v>
      </c>
      <c r="AG23" s="7"/>
      <c r="AH23" s="7"/>
      <c r="AI23" s="13"/>
      <c r="AJ23" t="s">
        <v>815</v>
      </c>
      <c r="AK23" s="7"/>
      <c r="AL23" s="13"/>
      <c r="AN23" s="7"/>
      <c r="AO23" s="20"/>
      <c r="AQ23" s="7"/>
      <c r="AR23" s="100"/>
      <c r="AT23" s="7"/>
      <c r="AV23" s="13"/>
      <c r="AW23" s="33"/>
      <c r="AX23" s="7"/>
    </row>
    <row r="24" spans="1:50" ht="12.75">
      <c r="A24" t="s">
        <v>478</v>
      </c>
      <c r="J24" s="25"/>
      <c r="K24" s="95"/>
      <c r="L24" s="27"/>
      <c r="M24" s="8"/>
      <c r="N24" s="22"/>
      <c r="O24" s="22"/>
      <c r="R24" s="27"/>
      <c r="S24" s="55"/>
      <c r="U24" s="8"/>
      <c r="V24" s="7"/>
      <c r="W24" s="7"/>
      <c r="X24" s="7"/>
      <c r="AF24" t="s">
        <v>205</v>
      </c>
      <c r="AG24" s="7"/>
      <c r="AH24" s="7"/>
      <c r="AI24" s="20"/>
      <c r="AK24" s="7"/>
      <c r="AL24" s="20"/>
      <c r="AN24" s="7"/>
      <c r="AO24" s="100"/>
      <c r="AQ24" s="7"/>
      <c r="AV24" s="20"/>
      <c r="AW24" s="33"/>
      <c r="AX24" s="7"/>
    </row>
    <row r="25" spans="1:50" ht="12.75">
      <c r="A25" t="s">
        <v>142</v>
      </c>
      <c r="J25" s="25"/>
      <c r="K25" t="s">
        <v>771</v>
      </c>
      <c r="L25" s="27"/>
      <c r="M25" s="8"/>
      <c r="N25" s="8"/>
      <c r="O25" s="8"/>
      <c r="R25" s="27"/>
      <c r="U25" s="8"/>
      <c r="V25" s="7"/>
      <c r="W25" s="7"/>
      <c r="X25" s="8"/>
      <c r="AF25" s="100"/>
      <c r="AG25" s="7"/>
      <c r="AH25" s="7"/>
      <c r="AI25" s="100"/>
      <c r="AJ25" t="s">
        <v>813</v>
      </c>
      <c r="AK25" s="7"/>
      <c r="AL25" s="100"/>
      <c r="AN25" s="7"/>
      <c r="AV25" s="100"/>
      <c r="AX25" s="7"/>
    </row>
    <row r="26" spans="1:24" ht="12.75">
      <c r="A26" t="s">
        <v>143</v>
      </c>
      <c r="J26" s="25"/>
      <c r="K26" t="s">
        <v>951</v>
      </c>
      <c r="U26" s="8"/>
      <c r="V26" s="7"/>
      <c r="W26" s="7"/>
      <c r="X26" s="8"/>
    </row>
    <row r="27" spans="10:24" ht="12.75">
      <c r="J27" s="25"/>
      <c r="K27" t="s">
        <v>952</v>
      </c>
      <c r="U27" s="8"/>
      <c r="V27" s="7"/>
      <c r="W27" s="7"/>
      <c r="X27" s="8"/>
    </row>
    <row r="28" spans="1:24" ht="12.75">
      <c r="A28" s="33" t="s">
        <v>781</v>
      </c>
      <c r="J28" s="25"/>
      <c r="K28" t="s">
        <v>816</v>
      </c>
      <c r="U28" s="8"/>
      <c r="V28" s="7"/>
      <c r="W28" s="7"/>
      <c r="X28" s="8"/>
    </row>
    <row r="29" spans="1:24" ht="12.75">
      <c r="A29" s="35"/>
      <c r="J29" s="25"/>
      <c r="U29" s="8"/>
      <c r="V29" s="7"/>
      <c r="W29" s="7"/>
      <c r="X29" s="8"/>
    </row>
    <row r="30" spans="1:24" ht="12.75">
      <c r="A30" t="s">
        <v>715</v>
      </c>
      <c r="J30" s="25"/>
      <c r="U30" s="8"/>
      <c r="V30" s="7"/>
      <c r="W30" s="7"/>
      <c r="X30" s="8"/>
    </row>
    <row r="31" spans="10:24" ht="12.75">
      <c r="J31" s="25"/>
      <c r="K31" s="11" t="s">
        <v>773</v>
      </c>
      <c r="L31" s="11" t="s">
        <v>770</v>
      </c>
      <c r="M31" s="11" t="s">
        <v>772</v>
      </c>
      <c r="P31" s="27"/>
      <c r="Q31" s="55"/>
      <c r="T31" s="25"/>
      <c r="U31" s="25"/>
      <c r="V31" s="7"/>
      <c r="W31" s="7"/>
      <c r="X31" s="8"/>
    </row>
    <row r="32" spans="9:24" ht="12.75">
      <c r="I32" s="1" t="s">
        <v>699</v>
      </c>
      <c r="K32" s="40"/>
      <c r="L32" s="40"/>
      <c r="M32" s="40"/>
      <c r="T32" s="92"/>
      <c r="U32" s="25"/>
      <c r="X32" s="8"/>
    </row>
    <row r="33" spans="11:24" ht="12.75">
      <c r="K33" s="27"/>
      <c r="L33" s="39"/>
      <c r="M33" s="39"/>
      <c r="O33" s="39"/>
      <c r="P33" s="34" t="s">
        <v>805</v>
      </c>
      <c r="T33" s="8"/>
      <c r="U33" s="8"/>
      <c r="X33" s="8"/>
    </row>
    <row r="34" spans="10:22" ht="12.75">
      <c r="J34" s="25"/>
      <c r="K34" s="27" t="s">
        <v>873</v>
      </c>
      <c r="L34" s="39" t="s">
        <v>451</v>
      </c>
      <c r="M34" s="39" t="s">
        <v>817</v>
      </c>
      <c r="O34" s="39"/>
      <c r="P34" t="s">
        <v>600</v>
      </c>
      <c r="Q34" s="80" t="s">
        <v>818</v>
      </c>
      <c r="V34" s="25"/>
    </row>
    <row r="35" spans="10:22" ht="12.75">
      <c r="J35" s="25"/>
      <c r="K35" s="27" t="s">
        <v>308</v>
      </c>
      <c r="L35" s="69" t="s">
        <v>605</v>
      </c>
      <c r="M35" s="39" t="s">
        <v>819</v>
      </c>
      <c r="O35" s="39"/>
      <c r="P35" s="34" t="s">
        <v>787</v>
      </c>
      <c r="V35" s="25"/>
    </row>
    <row r="36" spans="10:22" ht="12.75">
      <c r="J36" s="25"/>
      <c r="K36" s="23" t="s">
        <v>450</v>
      </c>
      <c r="L36" s="23" t="s">
        <v>450</v>
      </c>
      <c r="M36" s="23" t="s">
        <v>812</v>
      </c>
      <c r="O36" s="23"/>
      <c r="T36" s="25"/>
      <c r="U36" s="25"/>
      <c r="V36" s="25"/>
    </row>
    <row r="37" spans="11:22" ht="12.75">
      <c r="K37" s="27"/>
      <c r="L37" s="39"/>
      <c r="M37" s="39"/>
      <c r="O37" s="39"/>
      <c r="T37" s="40"/>
      <c r="U37" s="25"/>
      <c r="V37" s="25"/>
    </row>
    <row r="38" spans="10:22" ht="12.75">
      <c r="J38" s="25"/>
      <c r="K38" s="60">
        <v>1770</v>
      </c>
      <c r="L38" s="60">
        <v>2070</v>
      </c>
      <c r="M38" s="60">
        <v>2019</v>
      </c>
      <c r="O38" s="60"/>
      <c r="P38" t="s">
        <v>252</v>
      </c>
      <c r="Q38" s="8"/>
      <c r="T38" s="25"/>
      <c r="U38" s="25"/>
      <c r="V38" s="7"/>
    </row>
    <row r="39" spans="10:21" ht="12.75">
      <c r="J39" s="25"/>
      <c r="K39" s="72">
        <f>K38*6.5</f>
        <v>11505</v>
      </c>
      <c r="L39" s="72">
        <f>L38*6.5</f>
        <v>13455</v>
      </c>
      <c r="M39" s="72">
        <f>M38*6.5</f>
        <v>13123.5</v>
      </c>
      <c r="O39" s="72"/>
      <c r="P39" t="s">
        <v>542</v>
      </c>
      <c r="Q39" s="8"/>
      <c r="R39" s="24" t="s">
        <v>757</v>
      </c>
      <c r="T39" s="25"/>
      <c r="U39" s="25"/>
    </row>
    <row r="40" spans="10:18" ht="12.75">
      <c r="J40" s="25"/>
      <c r="K40" s="72">
        <f>K38*6.8</f>
        <v>12036</v>
      </c>
      <c r="L40" s="72">
        <f>L38*6.8</f>
        <v>14076</v>
      </c>
      <c r="M40" s="72">
        <f>M38*6.8</f>
        <v>13729.199999999999</v>
      </c>
      <c r="O40" s="72"/>
      <c r="P40" t="s">
        <v>791</v>
      </c>
      <c r="Q40" s="8"/>
      <c r="R40" s="24" t="s">
        <v>758</v>
      </c>
    </row>
    <row r="41" spans="10:22" ht="12.75">
      <c r="J41" s="25"/>
      <c r="K41" s="23" t="s">
        <v>603</v>
      </c>
      <c r="L41" s="23" t="s">
        <v>264</v>
      </c>
      <c r="M41" s="23" t="s">
        <v>820</v>
      </c>
      <c r="O41" s="23"/>
      <c r="V41" s="25"/>
    </row>
    <row r="42" spans="11:22" ht="12.75">
      <c r="K42" s="27"/>
      <c r="L42" s="27"/>
      <c r="M42" s="27"/>
      <c r="O42" s="27"/>
      <c r="V42" s="25"/>
    </row>
    <row r="43" spans="10:22" ht="12.75">
      <c r="J43" s="25"/>
      <c r="K43" s="27" t="s">
        <v>546</v>
      </c>
      <c r="L43" s="79">
        <v>3570</v>
      </c>
      <c r="M43" s="60">
        <v>3475</v>
      </c>
      <c r="O43" s="60"/>
      <c r="P43" t="s">
        <v>253</v>
      </c>
      <c r="V43" s="25"/>
    </row>
    <row r="44" spans="10:22" ht="12.75">
      <c r="J44" s="25"/>
      <c r="K44" s="27"/>
      <c r="L44" s="72">
        <f>L43*6.5</f>
        <v>23205</v>
      </c>
      <c r="M44" s="72">
        <f>M43*6.5</f>
        <v>22587.5</v>
      </c>
      <c r="O44" s="72"/>
      <c r="P44" t="s">
        <v>542</v>
      </c>
      <c r="Q44" s="8"/>
      <c r="V44" s="25"/>
    </row>
    <row r="45" spans="10:18" ht="12.75">
      <c r="J45" s="25"/>
      <c r="K45" s="27"/>
      <c r="L45" s="72">
        <f>L43*6.8</f>
        <v>24276</v>
      </c>
      <c r="M45" s="72">
        <f>M43*6.8</f>
        <v>23630</v>
      </c>
      <c r="O45" s="72"/>
      <c r="P45" t="s">
        <v>791</v>
      </c>
      <c r="Q45" s="8"/>
      <c r="R45" s="25" t="s">
        <v>262</v>
      </c>
    </row>
    <row r="46" spans="10:17" ht="12.75">
      <c r="J46" s="25"/>
      <c r="K46" s="27"/>
      <c r="L46" s="23" t="s">
        <v>264</v>
      </c>
      <c r="M46" s="23" t="s">
        <v>820</v>
      </c>
      <c r="O46" s="23"/>
      <c r="Q46" s="8"/>
    </row>
    <row r="47" spans="10:15" ht="12.75">
      <c r="J47" s="25"/>
      <c r="K47" s="27"/>
      <c r="L47" s="27"/>
      <c r="M47" s="27"/>
      <c r="O47" s="27"/>
    </row>
    <row r="48" spans="10:16" ht="12.75">
      <c r="J48" s="25"/>
      <c r="K48" s="27"/>
      <c r="L48" s="27"/>
      <c r="M48" s="27"/>
      <c r="O48" s="27"/>
      <c r="P48" s="14" t="s">
        <v>599</v>
      </c>
    </row>
    <row r="49" spans="10:16" ht="12.75">
      <c r="J49" s="25"/>
      <c r="K49" s="27" t="s">
        <v>460</v>
      </c>
      <c r="L49" s="27" t="s">
        <v>460</v>
      </c>
      <c r="M49" s="27"/>
      <c r="O49" s="27"/>
      <c r="P49" t="s">
        <v>479</v>
      </c>
    </row>
    <row r="50" spans="10:16" ht="12.75">
      <c r="J50" s="25"/>
      <c r="K50" s="27" t="s">
        <v>461</v>
      </c>
      <c r="L50" s="27" t="s">
        <v>461</v>
      </c>
      <c r="M50" s="27"/>
      <c r="O50" s="27"/>
      <c r="P50" t="s">
        <v>480</v>
      </c>
    </row>
    <row r="51" spans="10:16" ht="12.75">
      <c r="J51" s="25"/>
      <c r="M51" s="27" t="s">
        <v>832</v>
      </c>
      <c r="P51" t="s">
        <v>831</v>
      </c>
    </row>
    <row r="52" spans="11:16" ht="12.75">
      <c r="K52" s="27" t="s">
        <v>462</v>
      </c>
      <c r="L52" s="27" t="s">
        <v>462</v>
      </c>
      <c r="M52" s="27" t="s">
        <v>546</v>
      </c>
      <c r="O52" s="27"/>
      <c r="P52" t="s">
        <v>481</v>
      </c>
    </row>
    <row r="53" spans="11:16" ht="12.75">
      <c r="K53" s="27" t="s">
        <v>463</v>
      </c>
      <c r="L53" s="27" t="s">
        <v>463</v>
      </c>
      <c r="M53" s="27" t="s">
        <v>546</v>
      </c>
      <c r="O53" s="27"/>
      <c r="P53" t="s">
        <v>482</v>
      </c>
    </row>
    <row r="54" spans="9:15" ht="12.75">
      <c r="I54" s="1" t="s">
        <v>700</v>
      </c>
      <c r="J54" s="25"/>
      <c r="K54" s="23" t="s">
        <v>459</v>
      </c>
      <c r="L54" s="23" t="s">
        <v>459</v>
      </c>
      <c r="M54" s="23" t="s">
        <v>833</v>
      </c>
      <c r="O54" s="23"/>
    </row>
    <row r="55" spans="10:16" ht="12.75">
      <c r="J55" s="25"/>
      <c r="K55" s="27"/>
      <c r="L55" s="39"/>
      <c r="M55" s="27"/>
      <c r="O55" s="27"/>
      <c r="P55" s="14" t="s">
        <v>476</v>
      </c>
    </row>
    <row r="56" spans="10:16" ht="12.75">
      <c r="J56" s="25"/>
      <c r="K56" s="27" t="s">
        <v>218</v>
      </c>
      <c r="L56" s="27" t="s">
        <v>218</v>
      </c>
      <c r="M56" s="27" t="s">
        <v>218</v>
      </c>
      <c r="N56" s="27"/>
      <c r="O56" s="27"/>
      <c r="P56" t="s">
        <v>556</v>
      </c>
    </row>
    <row r="57" spans="10:17" ht="12.75">
      <c r="J57" s="25"/>
      <c r="K57" s="27" t="s">
        <v>474</v>
      </c>
      <c r="L57" s="27" t="s">
        <v>474</v>
      </c>
      <c r="M57" s="27" t="s">
        <v>474</v>
      </c>
      <c r="N57" s="27"/>
      <c r="O57" s="23"/>
      <c r="P57" t="s">
        <v>472</v>
      </c>
      <c r="Q57" s="8"/>
    </row>
    <row r="58" spans="10:19" ht="12.75">
      <c r="J58" s="25"/>
      <c r="K58" s="27" t="s">
        <v>475</v>
      </c>
      <c r="L58" s="27" t="s">
        <v>475</v>
      </c>
      <c r="M58" s="27" t="s">
        <v>475</v>
      </c>
      <c r="N58" s="27"/>
      <c r="P58" t="s">
        <v>473</v>
      </c>
      <c r="Q58" s="8"/>
      <c r="R58" s="39"/>
      <c r="S58" s="71"/>
    </row>
    <row r="59" spans="10:14" ht="12.75">
      <c r="J59" s="25"/>
      <c r="K59" s="23" t="s">
        <v>471</v>
      </c>
      <c r="L59" s="23" t="s">
        <v>471</v>
      </c>
      <c r="M59" s="23" t="s">
        <v>837</v>
      </c>
      <c r="N59" s="27"/>
    </row>
    <row r="60" spans="10:16" ht="12.75">
      <c r="J60" s="25"/>
      <c r="M60" s="27"/>
      <c r="N60" s="27"/>
      <c r="P60" s="14" t="s">
        <v>483</v>
      </c>
    </row>
    <row r="61" spans="10:19" ht="12.75">
      <c r="J61" s="25"/>
      <c r="K61" s="27" t="s">
        <v>486</v>
      </c>
      <c r="L61" s="27" t="s">
        <v>486</v>
      </c>
      <c r="M61" s="27" t="s">
        <v>218</v>
      </c>
      <c r="N61" s="27"/>
      <c r="O61" s="27"/>
      <c r="P61" s="27" t="s">
        <v>705</v>
      </c>
      <c r="Q61" t="s">
        <v>484</v>
      </c>
      <c r="S61" t="s">
        <v>838</v>
      </c>
    </row>
    <row r="62" spans="10:17" ht="12.75">
      <c r="J62" s="25"/>
      <c r="K62" s="27" t="s">
        <v>485</v>
      </c>
      <c r="L62" s="27" t="s">
        <v>485</v>
      </c>
      <c r="M62" s="27" t="s">
        <v>839</v>
      </c>
      <c r="N62" s="27"/>
      <c r="O62" s="27"/>
      <c r="P62" s="27" t="s">
        <v>806</v>
      </c>
      <c r="Q62" t="s">
        <v>484</v>
      </c>
    </row>
    <row r="63" spans="10:14" ht="12.75">
      <c r="J63" s="25"/>
      <c r="K63" s="23" t="s">
        <v>471</v>
      </c>
      <c r="L63" s="23" t="s">
        <v>471</v>
      </c>
      <c r="M63" s="23" t="s">
        <v>837</v>
      </c>
      <c r="N63" s="27"/>
    </row>
    <row r="64" spans="10:16" ht="12.75">
      <c r="J64" s="25"/>
      <c r="L64" s="39"/>
      <c r="M64" s="27"/>
      <c r="N64" s="27"/>
      <c r="P64" s="14" t="s">
        <v>487</v>
      </c>
    </row>
    <row r="65" spans="10:19" ht="12.75">
      <c r="J65" s="25"/>
      <c r="K65" s="27" t="s">
        <v>490</v>
      </c>
      <c r="L65" s="27" t="s">
        <v>490</v>
      </c>
      <c r="M65" s="27" t="s">
        <v>841</v>
      </c>
      <c r="N65" s="27"/>
      <c r="P65" s="27" t="s">
        <v>705</v>
      </c>
      <c r="Q65" t="s">
        <v>484</v>
      </c>
      <c r="S65" t="s">
        <v>838</v>
      </c>
    </row>
    <row r="66" spans="10:17" ht="12.75">
      <c r="J66" s="25"/>
      <c r="K66" s="27" t="s">
        <v>489</v>
      </c>
      <c r="L66" s="27" t="s">
        <v>489</v>
      </c>
      <c r="M66" s="27"/>
      <c r="N66" s="27"/>
      <c r="P66" s="27" t="s">
        <v>488</v>
      </c>
      <c r="Q66" t="s">
        <v>484</v>
      </c>
    </row>
    <row r="67" spans="10:17" ht="12.75">
      <c r="J67" s="25"/>
      <c r="M67" s="27" t="s">
        <v>843</v>
      </c>
      <c r="P67" s="27" t="s">
        <v>842</v>
      </c>
      <c r="Q67" t="s">
        <v>484</v>
      </c>
    </row>
    <row r="68" spans="10:17" ht="12.75">
      <c r="J68" s="25"/>
      <c r="K68" s="27" t="s">
        <v>226</v>
      </c>
      <c r="L68" s="27" t="s">
        <v>226</v>
      </c>
      <c r="M68" s="27"/>
      <c r="N68" s="27"/>
      <c r="P68" s="27" t="s">
        <v>806</v>
      </c>
      <c r="Q68" t="s">
        <v>484</v>
      </c>
    </row>
    <row r="69" spans="10:14" ht="12.75">
      <c r="J69" s="25"/>
      <c r="K69" s="23" t="s">
        <v>471</v>
      </c>
      <c r="L69" s="23" t="s">
        <v>471</v>
      </c>
      <c r="M69" s="23" t="s">
        <v>840</v>
      </c>
      <c r="N69" s="27"/>
    </row>
    <row r="70" spans="10:16" ht="12.75">
      <c r="J70" s="25"/>
      <c r="L70" s="39"/>
      <c r="M70" s="27"/>
      <c r="N70" s="27"/>
      <c r="P70" s="14" t="s">
        <v>467</v>
      </c>
    </row>
    <row r="71" spans="10:19" ht="12.75">
      <c r="J71" s="25"/>
      <c r="K71" s="27" t="s">
        <v>468</v>
      </c>
      <c r="L71" s="27" t="s">
        <v>468</v>
      </c>
      <c r="M71" s="27" t="s">
        <v>836</v>
      </c>
      <c r="N71" s="27"/>
      <c r="P71" s="35" t="s">
        <v>470</v>
      </c>
      <c r="S71" s="110" t="s">
        <v>464</v>
      </c>
    </row>
    <row r="72" spans="10:19" ht="12.75">
      <c r="J72" s="25"/>
      <c r="M72" s="27" t="s">
        <v>835</v>
      </c>
      <c r="N72" s="27"/>
      <c r="P72" s="35" t="s">
        <v>827</v>
      </c>
      <c r="S72" s="110" t="s">
        <v>465</v>
      </c>
    </row>
    <row r="73" spans="10:19" ht="12.75">
      <c r="J73" s="25"/>
      <c r="K73" s="23" t="s">
        <v>469</v>
      </c>
      <c r="L73" s="23" t="s">
        <v>469</v>
      </c>
      <c r="M73" s="23" t="s">
        <v>834</v>
      </c>
      <c r="N73" s="27"/>
      <c r="S73" s="110" t="s">
        <v>466</v>
      </c>
    </row>
    <row r="74" spans="10:14" ht="12.75">
      <c r="J74" s="25"/>
      <c r="M74" s="27"/>
      <c r="N74" s="27"/>
    </row>
    <row r="75" spans="9:16" ht="12.75">
      <c r="I75" s="1" t="s">
        <v>701</v>
      </c>
      <c r="J75" s="25"/>
      <c r="K75" s="27" t="s">
        <v>606</v>
      </c>
      <c r="L75" s="27" t="s">
        <v>606</v>
      </c>
      <c r="M75" s="27" t="s">
        <v>606</v>
      </c>
      <c r="P75" t="s">
        <v>844</v>
      </c>
    </row>
    <row r="76" spans="10:13" ht="12.75">
      <c r="J76" s="25"/>
      <c r="K76" s="23" t="s">
        <v>67</v>
      </c>
      <c r="L76" s="23" t="s">
        <v>67</v>
      </c>
      <c r="M76" s="23" t="s">
        <v>854</v>
      </c>
    </row>
    <row r="77" spans="10:16" ht="12.75">
      <c r="J77" s="25"/>
      <c r="P77" s="14" t="s">
        <v>185</v>
      </c>
    </row>
    <row r="78" spans="10:16" ht="12.75">
      <c r="J78" s="25"/>
      <c r="K78" s="27" t="s">
        <v>392</v>
      </c>
      <c r="L78" s="27" t="s">
        <v>392</v>
      </c>
      <c r="M78" s="27" t="s">
        <v>392</v>
      </c>
      <c r="P78" s="35" t="s">
        <v>825</v>
      </c>
    </row>
    <row r="79" spans="10:16" ht="12.75">
      <c r="J79" s="25"/>
      <c r="K79" s="27" t="s">
        <v>823</v>
      </c>
      <c r="L79" s="27" t="s">
        <v>823</v>
      </c>
      <c r="M79" s="27" t="s">
        <v>823</v>
      </c>
      <c r="P79" s="35" t="s">
        <v>824</v>
      </c>
    </row>
    <row r="80" spans="10:13" ht="12.75">
      <c r="J80" s="25"/>
      <c r="K80" s="23" t="s">
        <v>822</v>
      </c>
      <c r="L80" s="23" t="s">
        <v>822</v>
      </c>
      <c r="M80" s="23" t="s">
        <v>822</v>
      </c>
    </row>
    <row r="81" ht="12.75">
      <c r="J81" s="25"/>
    </row>
    <row r="82" spans="10:16" ht="12.75">
      <c r="J82" s="25"/>
      <c r="K82" s="27" t="s">
        <v>821</v>
      </c>
      <c r="L82" s="27" t="s">
        <v>821</v>
      </c>
      <c r="M82" s="27" t="s">
        <v>821</v>
      </c>
      <c r="P82" t="s">
        <v>541</v>
      </c>
    </row>
    <row r="83" spans="11:15" ht="12.75">
      <c r="K83" s="23" t="s">
        <v>826</v>
      </c>
      <c r="L83" s="23" t="s">
        <v>826</v>
      </c>
      <c r="M83" s="23" t="s">
        <v>826</v>
      </c>
      <c r="O83" s="27"/>
    </row>
    <row r="85" spans="11:17" ht="12.75">
      <c r="K85" s="68" t="s">
        <v>604</v>
      </c>
      <c r="L85" s="68" t="s">
        <v>604</v>
      </c>
      <c r="M85" s="68" t="s">
        <v>848</v>
      </c>
      <c r="O85" s="27"/>
      <c r="P85" s="55" t="s">
        <v>852</v>
      </c>
      <c r="Q85" t="s">
        <v>846</v>
      </c>
    </row>
    <row r="86" spans="11:17" ht="12.75">
      <c r="K86" s="23" t="s">
        <v>491</v>
      </c>
      <c r="L86" s="23" t="s">
        <v>491</v>
      </c>
      <c r="M86" s="23" t="s">
        <v>845</v>
      </c>
      <c r="O86" s="27"/>
      <c r="Q86" t="s">
        <v>847</v>
      </c>
    </row>
    <row r="88" spans="11:19" ht="12.75">
      <c r="K88" s="27"/>
      <c r="L88" s="27"/>
      <c r="S88" s="25" t="s">
        <v>954</v>
      </c>
    </row>
    <row r="89" spans="11:19" ht="12.75">
      <c r="K89" s="39"/>
      <c r="L89" s="39" t="s">
        <v>953</v>
      </c>
      <c r="S89" s="25" t="s">
        <v>957</v>
      </c>
    </row>
    <row r="90" spans="11:19" ht="12.75">
      <c r="K90" s="39"/>
      <c r="L90" s="39" t="s">
        <v>999</v>
      </c>
      <c r="S90" s="110" t="s">
        <v>955</v>
      </c>
    </row>
    <row r="91" spans="12:19" ht="12.75">
      <c r="L91" s="23" t="s">
        <v>1000</v>
      </c>
      <c r="S91" s="121" t="s">
        <v>956</v>
      </c>
    </row>
    <row r="92" ht="12.75">
      <c r="S92" s="25" t="s">
        <v>958</v>
      </c>
    </row>
    <row r="95" spans="11:15" ht="12.75">
      <c r="K95" s="23"/>
      <c r="L95" s="23"/>
      <c r="M95" s="23" t="s">
        <v>1001</v>
      </c>
      <c r="N95" s="23"/>
      <c r="O95" s="23"/>
    </row>
    <row r="96" ht="12.75">
      <c r="I96" s="1"/>
    </row>
    <row r="97" spans="9:17" ht="12.75">
      <c r="I97" s="1" t="s">
        <v>702</v>
      </c>
      <c r="K97" s="40"/>
      <c r="P97" s="11" t="s">
        <v>786</v>
      </c>
      <c r="Q97" t="s">
        <v>866</v>
      </c>
    </row>
    <row r="98" spans="11:15" ht="12.75">
      <c r="K98" s="58" t="s">
        <v>601</v>
      </c>
      <c r="L98" s="73" t="s">
        <v>602</v>
      </c>
      <c r="M98" s="58" t="s">
        <v>227</v>
      </c>
      <c r="O98" s="58"/>
    </row>
    <row r="99" spans="11:15" ht="12.75">
      <c r="K99" s="23" t="s">
        <v>874</v>
      </c>
      <c r="L99" s="23" t="s">
        <v>874</v>
      </c>
      <c r="M99" s="23" t="s">
        <v>874</v>
      </c>
      <c r="O99" s="23"/>
    </row>
    <row r="100" spans="11:17" ht="12.75">
      <c r="K100" s="79">
        <f>14670*2</f>
        <v>29340</v>
      </c>
      <c r="L100" s="79">
        <f>14670*2</f>
        <v>29340</v>
      </c>
      <c r="M100" s="79">
        <f>17800*2</f>
        <v>35600</v>
      </c>
      <c r="O100" s="79"/>
      <c r="P100" s="27" t="s">
        <v>867</v>
      </c>
      <c r="Q100" s="34" t="s">
        <v>875</v>
      </c>
    </row>
    <row r="101" spans="11:16" ht="12.75">
      <c r="K101" s="39">
        <v>0.72</v>
      </c>
      <c r="L101" s="39">
        <v>0.735</v>
      </c>
      <c r="M101" s="39">
        <v>0.726</v>
      </c>
      <c r="O101" s="39"/>
      <c r="P101" s="27" t="s">
        <v>784</v>
      </c>
    </row>
    <row r="102" spans="11:17" ht="12.75">
      <c r="K102" s="31">
        <f>(K100*K101)/3600</f>
        <v>5.867999999999999</v>
      </c>
      <c r="L102" s="31">
        <f>(L100*L101)/3600</f>
        <v>5.99025</v>
      </c>
      <c r="M102" s="31">
        <f>(M100*M101)/3600</f>
        <v>7.179333333333333</v>
      </c>
      <c r="N102" s="31">
        <f>(N100*N101)/3600</f>
        <v>0</v>
      </c>
      <c r="O102" s="31">
        <f>(O100*O101)/3600</f>
        <v>0</v>
      </c>
      <c r="P102" s="27" t="s">
        <v>868</v>
      </c>
      <c r="Q102" s="34" t="s">
        <v>876</v>
      </c>
    </row>
    <row r="103" spans="11:16" ht="12.75">
      <c r="K103" s="40"/>
      <c r="L103" s="40"/>
      <c r="O103" s="40"/>
      <c r="P103" s="27"/>
    </row>
    <row r="104" spans="11:17" ht="12.75">
      <c r="K104" s="79">
        <f>23830*2</f>
        <v>47660</v>
      </c>
      <c r="L104" s="79">
        <f>23830*2</f>
        <v>47660</v>
      </c>
      <c r="M104" s="79">
        <f>29100*2</f>
        <v>58200</v>
      </c>
      <c r="O104" s="79"/>
      <c r="P104" s="27" t="s">
        <v>144</v>
      </c>
      <c r="Q104" s="34" t="s">
        <v>875</v>
      </c>
    </row>
    <row r="105" spans="11:16" ht="12.75">
      <c r="K105" s="39">
        <v>2.5</v>
      </c>
      <c r="L105" s="39">
        <v>2.1</v>
      </c>
      <c r="M105" s="39">
        <v>2.06</v>
      </c>
      <c r="O105" s="39"/>
      <c r="P105" s="27" t="s">
        <v>784</v>
      </c>
    </row>
    <row r="106" spans="11:17" ht="12.75">
      <c r="K106" s="31">
        <f>(K104*K105)/3600</f>
        <v>33.09722222222222</v>
      </c>
      <c r="L106" s="31">
        <f>(L104*L105)/3600</f>
        <v>27.801666666666666</v>
      </c>
      <c r="M106" s="31">
        <f>(M104*M105)/3600</f>
        <v>33.303333333333335</v>
      </c>
      <c r="N106" s="31">
        <f>(N104*N105)/3600</f>
        <v>0</v>
      </c>
      <c r="O106" s="31">
        <f>(O104*O105)/3600</f>
        <v>0</v>
      </c>
      <c r="P106" s="27" t="s">
        <v>868</v>
      </c>
      <c r="Q106" s="34" t="s">
        <v>876</v>
      </c>
    </row>
    <row r="107" spans="11:16" ht="12.75">
      <c r="K107" s="23" t="s">
        <v>261</v>
      </c>
      <c r="L107" s="23" t="s">
        <v>261</v>
      </c>
      <c r="M107" s="23" t="s">
        <v>261</v>
      </c>
      <c r="O107" s="23"/>
      <c r="P107" s="27"/>
    </row>
    <row r="109" ht="12.75">
      <c r="P109" s="11" t="s">
        <v>799</v>
      </c>
    </row>
    <row r="111" spans="11:18" ht="12.75">
      <c r="K111" s="27" t="s">
        <v>455</v>
      </c>
      <c r="L111" s="27" t="s">
        <v>455</v>
      </c>
      <c r="M111" s="27" t="s">
        <v>829</v>
      </c>
      <c r="P111" t="s">
        <v>454</v>
      </c>
      <c r="R111" s="25" t="s">
        <v>457</v>
      </c>
    </row>
    <row r="112" spans="11:18" ht="12.75">
      <c r="K112" s="40" t="s">
        <v>406</v>
      </c>
      <c r="L112" s="40" t="s">
        <v>406</v>
      </c>
      <c r="M112" s="40" t="s">
        <v>828</v>
      </c>
      <c r="R112" s="23" t="s">
        <v>535</v>
      </c>
    </row>
    <row r="113" spans="11:13" ht="12.75">
      <c r="K113" s="23" t="s">
        <v>535</v>
      </c>
      <c r="L113" s="23" t="s">
        <v>535</v>
      </c>
      <c r="M113" s="23" t="s">
        <v>830</v>
      </c>
    </row>
    <row r="115" ht="12.75">
      <c r="O115" s="11" t="s">
        <v>449</v>
      </c>
    </row>
    <row r="116" spans="15:17" ht="12.75">
      <c r="O116" s="23" t="s">
        <v>458</v>
      </c>
      <c r="Q116" s="24" t="s">
        <v>456</v>
      </c>
    </row>
    <row r="117" spans="12:17" ht="12.75">
      <c r="L117" s="24" t="s">
        <v>72</v>
      </c>
      <c r="Q117" s="24" t="s">
        <v>617</v>
      </c>
    </row>
    <row r="118" ht="12.75">
      <c r="I118" s="1" t="s">
        <v>706</v>
      </c>
    </row>
    <row r="119" spans="11:20" ht="12.75">
      <c r="K119" s="39"/>
      <c r="L119" s="39" t="s">
        <v>697</v>
      </c>
      <c r="M119" s="39" t="s">
        <v>697</v>
      </c>
      <c r="N119" s="39" t="s">
        <v>146</v>
      </c>
      <c r="O119" s="39" t="s">
        <v>733</v>
      </c>
      <c r="P119" s="39"/>
      <c r="Q119" s="55"/>
      <c r="T119" s="93"/>
    </row>
    <row r="120" spans="11:20" ht="12.75">
      <c r="K120" s="32"/>
      <c r="L120" s="58" t="s">
        <v>618</v>
      </c>
      <c r="M120" s="32" t="s">
        <v>75</v>
      </c>
      <c r="N120" s="32" t="s">
        <v>75</v>
      </c>
      <c r="O120" s="32" t="s">
        <v>796</v>
      </c>
      <c r="P120" s="32" t="s">
        <v>70</v>
      </c>
      <c r="Q120" s="58" t="s">
        <v>79</v>
      </c>
      <c r="R120" s="32" t="s">
        <v>400</v>
      </c>
      <c r="S120" s="32" t="s">
        <v>399</v>
      </c>
      <c r="T120" s="32" t="s">
        <v>596</v>
      </c>
    </row>
    <row r="121" spans="11:20" ht="12.75">
      <c r="K121" s="23"/>
      <c r="L121" s="23" t="s">
        <v>613</v>
      </c>
      <c r="M121" s="23" t="s">
        <v>82</v>
      </c>
      <c r="N121" s="23" t="s">
        <v>445</v>
      </c>
      <c r="O121" s="23" t="s">
        <v>80</v>
      </c>
      <c r="P121" s="23"/>
      <c r="Q121" s="55"/>
      <c r="T121" s="93"/>
    </row>
    <row r="124" spans="11:19" ht="12.75">
      <c r="K124" s="27"/>
      <c r="N124" s="27">
        <v>4</v>
      </c>
      <c r="O124" s="27"/>
      <c r="P124" s="96" t="s">
        <v>100</v>
      </c>
      <c r="Q124" s="27" t="s">
        <v>157</v>
      </c>
      <c r="R124" s="57" t="s">
        <v>447</v>
      </c>
      <c r="S124" s="45" t="s">
        <v>65</v>
      </c>
    </row>
    <row r="125" spans="11:19" ht="12.75">
      <c r="K125" s="27"/>
      <c r="L125" s="27">
        <v>2</v>
      </c>
      <c r="M125" s="27"/>
      <c r="N125" s="27"/>
      <c r="O125" s="27"/>
      <c r="P125" s="96" t="s">
        <v>401</v>
      </c>
      <c r="Q125" s="39" t="s">
        <v>63</v>
      </c>
      <c r="R125" s="57" t="s">
        <v>429</v>
      </c>
      <c r="S125" s="45" t="s">
        <v>65</v>
      </c>
    </row>
    <row r="126" spans="11:18" ht="12.75">
      <c r="K126" s="27"/>
      <c r="L126" s="27"/>
      <c r="M126" s="27"/>
      <c r="N126" s="27"/>
      <c r="O126" s="27"/>
      <c r="P126" s="96"/>
      <c r="Q126" s="27"/>
      <c r="R126" s="57"/>
    </row>
    <row r="127" spans="11:19" ht="12.75">
      <c r="K127" s="27"/>
      <c r="L127" s="27"/>
      <c r="M127" s="27">
        <v>4</v>
      </c>
      <c r="N127" s="27"/>
      <c r="O127" s="27">
        <v>4</v>
      </c>
      <c r="P127" s="96" t="s">
        <v>102</v>
      </c>
      <c r="Q127" s="27" t="s">
        <v>89</v>
      </c>
      <c r="R127" s="57" t="s">
        <v>403</v>
      </c>
      <c r="S127" t="s">
        <v>404</v>
      </c>
    </row>
    <row r="128" spans="11:19" ht="12.75">
      <c r="K128" s="27"/>
      <c r="L128" s="27"/>
      <c r="M128" s="27">
        <v>4</v>
      </c>
      <c r="N128" s="27"/>
      <c r="O128" s="27">
        <v>4</v>
      </c>
      <c r="P128" s="96" t="s">
        <v>103</v>
      </c>
      <c r="Q128" s="27" t="s">
        <v>90</v>
      </c>
      <c r="R128" s="57" t="s">
        <v>403</v>
      </c>
      <c r="S128" t="s">
        <v>404</v>
      </c>
    </row>
    <row r="129" spans="11:19" ht="12.75">
      <c r="K129" s="27"/>
      <c r="L129" s="27"/>
      <c r="M129" s="27">
        <v>4</v>
      </c>
      <c r="N129" s="27"/>
      <c r="O129" s="27">
        <v>4</v>
      </c>
      <c r="P129" s="96" t="s">
        <v>103</v>
      </c>
      <c r="Q129" s="27" t="s">
        <v>91</v>
      </c>
      <c r="R129" s="57" t="s">
        <v>403</v>
      </c>
      <c r="S129" t="s">
        <v>404</v>
      </c>
    </row>
    <row r="130" spans="11:19" ht="12.75">
      <c r="K130" s="27"/>
      <c r="L130" s="27"/>
      <c r="M130" s="27">
        <v>6</v>
      </c>
      <c r="N130" s="27"/>
      <c r="O130" s="27">
        <v>6</v>
      </c>
      <c r="P130" s="96" t="s">
        <v>106</v>
      </c>
      <c r="Q130" s="39" t="s">
        <v>698</v>
      </c>
      <c r="R130" s="57" t="s">
        <v>403</v>
      </c>
      <c r="S130" t="s">
        <v>404</v>
      </c>
    </row>
    <row r="131" spans="11:12" ht="12.75">
      <c r="K131" s="27"/>
      <c r="L131" s="27"/>
    </row>
    <row r="132" spans="11:19" ht="12.75">
      <c r="K132" s="27"/>
      <c r="L132" s="27"/>
      <c r="M132" s="27">
        <v>3</v>
      </c>
      <c r="O132" s="27">
        <v>3</v>
      </c>
      <c r="P132" s="96" t="s">
        <v>103</v>
      </c>
      <c r="Q132" s="39" t="s">
        <v>950</v>
      </c>
      <c r="R132" s="57" t="s">
        <v>949</v>
      </c>
      <c r="S132" t="s">
        <v>404</v>
      </c>
    </row>
    <row r="133" spans="11:12" ht="12.75">
      <c r="K133" s="27"/>
      <c r="L133" s="27"/>
    </row>
    <row r="134" spans="11:20" ht="12.75">
      <c r="K134" s="27"/>
      <c r="L134" s="27"/>
      <c r="M134" s="27">
        <v>1</v>
      </c>
      <c r="N134" s="27"/>
      <c r="O134" s="27">
        <v>1</v>
      </c>
      <c r="P134" s="96" t="s">
        <v>948</v>
      </c>
      <c r="Q134" s="27" t="s">
        <v>945</v>
      </c>
      <c r="R134" s="96" t="s">
        <v>411</v>
      </c>
      <c r="S134" t="s">
        <v>946</v>
      </c>
      <c r="T134" t="s">
        <v>947</v>
      </c>
    </row>
    <row r="135" spans="11:20" ht="12.75">
      <c r="K135" s="27"/>
      <c r="L135" s="27"/>
      <c r="M135" s="27">
        <v>1</v>
      </c>
      <c r="N135" s="27"/>
      <c r="O135" s="27">
        <v>1</v>
      </c>
      <c r="P135" s="96" t="s">
        <v>104</v>
      </c>
      <c r="Q135" s="27" t="s">
        <v>610</v>
      </c>
      <c r="R135" s="96" t="s">
        <v>411</v>
      </c>
      <c r="S135" t="s">
        <v>95</v>
      </c>
      <c r="T135" t="s">
        <v>642</v>
      </c>
    </row>
    <row r="136" spans="11:12" ht="12.75">
      <c r="K136" s="27"/>
      <c r="L136" s="27"/>
    </row>
    <row r="137" spans="11:19" ht="12.75">
      <c r="K137" s="27"/>
      <c r="L137" s="27"/>
      <c r="M137" s="27">
        <v>6</v>
      </c>
      <c r="N137" s="27"/>
      <c r="O137" s="27">
        <v>6</v>
      </c>
      <c r="P137" s="96" t="s">
        <v>100</v>
      </c>
      <c r="Q137" s="27" t="s">
        <v>735</v>
      </c>
      <c r="R137" s="96" t="s">
        <v>407</v>
      </c>
      <c r="S137" s="34" t="s">
        <v>611</v>
      </c>
    </row>
    <row r="138" spans="11:19" ht="12.75">
      <c r="K138" s="27"/>
      <c r="L138" s="27"/>
      <c r="M138" s="27">
        <v>1</v>
      </c>
      <c r="N138" s="27"/>
      <c r="O138" s="27">
        <v>1</v>
      </c>
      <c r="P138" s="96" t="s">
        <v>107</v>
      </c>
      <c r="Q138" s="27" t="s">
        <v>64</v>
      </c>
      <c r="R138" s="96" t="s">
        <v>411</v>
      </c>
      <c r="S138" s="34" t="s">
        <v>611</v>
      </c>
    </row>
    <row r="139" spans="9:18" ht="12.75">
      <c r="I139" s="1" t="s">
        <v>707</v>
      </c>
      <c r="K139" s="27"/>
      <c r="L139" s="27"/>
      <c r="M139" s="27"/>
      <c r="N139" s="27"/>
      <c r="O139" s="27"/>
      <c r="P139" s="96"/>
      <c r="Q139" s="27"/>
      <c r="R139" s="57"/>
    </row>
    <row r="140" spans="11:19" ht="12.75">
      <c r="K140" s="27"/>
      <c r="L140" s="27"/>
      <c r="O140" s="27">
        <v>1</v>
      </c>
      <c r="P140" s="96" t="s">
        <v>362</v>
      </c>
      <c r="Q140" s="27" t="s">
        <v>97</v>
      </c>
      <c r="R140" s="57" t="s">
        <v>797</v>
      </c>
      <c r="S140" s="34" t="s">
        <v>608</v>
      </c>
    </row>
    <row r="141" spans="11:19" ht="12.75">
      <c r="K141" s="27"/>
      <c r="O141" s="27">
        <v>1</v>
      </c>
      <c r="P141" s="96" t="s">
        <v>99</v>
      </c>
      <c r="Q141" s="27" t="s">
        <v>98</v>
      </c>
      <c r="R141" s="57" t="s">
        <v>797</v>
      </c>
      <c r="S141" s="34" t="s">
        <v>608</v>
      </c>
    </row>
    <row r="142" spans="11:19" ht="12.75">
      <c r="K142" s="27"/>
      <c r="L142" s="27"/>
      <c r="M142" s="27"/>
      <c r="N142" s="27"/>
      <c r="O142" s="27"/>
      <c r="P142" s="96"/>
      <c r="Q142" s="27"/>
      <c r="R142" s="96"/>
      <c r="S142" s="34"/>
    </row>
    <row r="143" spans="11:20" ht="12.75">
      <c r="K143" s="27"/>
      <c r="L143" s="27"/>
      <c r="M143" s="27">
        <v>1</v>
      </c>
      <c r="N143" s="27"/>
      <c r="O143" s="27">
        <v>1</v>
      </c>
      <c r="P143" s="96" t="s">
        <v>453</v>
      </c>
      <c r="Q143" s="27"/>
      <c r="R143" s="96" t="s">
        <v>448</v>
      </c>
      <c r="S143" s="34" t="s">
        <v>416</v>
      </c>
      <c r="T143" s="25" t="s">
        <v>452</v>
      </c>
    </row>
    <row r="144" spans="11:19" ht="12.75">
      <c r="K144" s="27"/>
      <c r="L144" s="27"/>
      <c r="M144" s="27"/>
      <c r="N144" s="27"/>
      <c r="O144" s="27"/>
      <c r="P144" s="96"/>
      <c r="Q144" s="27"/>
      <c r="R144" s="96"/>
      <c r="S144" s="34"/>
    </row>
    <row r="150" ht="12.75">
      <c r="O150" s="11" t="s">
        <v>772</v>
      </c>
    </row>
    <row r="151" spans="15:17" ht="12.75">
      <c r="O151" s="23" t="s">
        <v>614</v>
      </c>
      <c r="Q151" s="24" t="s">
        <v>615</v>
      </c>
    </row>
    <row r="152" spans="11:17" ht="12.75">
      <c r="K152" s="24" t="s">
        <v>73</v>
      </c>
      <c r="Q152" s="24" t="s">
        <v>616</v>
      </c>
    </row>
    <row r="154" spans="11:17" ht="12.75">
      <c r="K154" s="39" t="s">
        <v>697</v>
      </c>
      <c r="L154" s="39" t="s">
        <v>697</v>
      </c>
      <c r="M154" s="27" t="s">
        <v>619</v>
      </c>
      <c r="N154" s="39" t="s">
        <v>621</v>
      </c>
      <c r="O154" s="39" t="s">
        <v>733</v>
      </c>
      <c r="P154" s="39"/>
      <c r="Q154" s="55"/>
    </row>
    <row r="155" spans="11:20" ht="12.75">
      <c r="K155" s="32" t="s">
        <v>446</v>
      </c>
      <c r="L155" s="32" t="s">
        <v>75</v>
      </c>
      <c r="M155" s="32" t="s">
        <v>620</v>
      </c>
      <c r="N155" s="32" t="s">
        <v>620</v>
      </c>
      <c r="O155" s="32" t="s">
        <v>796</v>
      </c>
      <c r="P155" s="32" t="s">
        <v>70</v>
      </c>
      <c r="Q155" s="58" t="s">
        <v>79</v>
      </c>
      <c r="R155" s="32" t="s">
        <v>400</v>
      </c>
      <c r="S155" s="32" t="s">
        <v>399</v>
      </c>
      <c r="T155" s="32" t="s">
        <v>596</v>
      </c>
    </row>
    <row r="156" spans="11:17" ht="12.75">
      <c r="K156" s="23" t="s">
        <v>613</v>
      </c>
      <c r="L156" s="23" t="s">
        <v>82</v>
      </c>
      <c r="M156" s="23" t="s">
        <v>623</v>
      </c>
      <c r="N156" s="23" t="s">
        <v>622</v>
      </c>
      <c r="O156" s="23" t="s">
        <v>80</v>
      </c>
      <c r="P156" s="23"/>
      <c r="Q156" s="55"/>
    </row>
    <row r="157" ht="12.75">
      <c r="R157" s="57"/>
    </row>
    <row r="158" spans="11:19" ht="12.75">
      <c r="K158" s="27"/>
      <c r="L158" s="27"/>
      <c r="M158" s="27"/>
      <c r="N158" s="27">
        <v>2</v>
      </c>
      <c r="O158" s="27"/>
      <c r="P158" s="96" t="s">
        <v>100</v>
      </c>
      <c r="Q158" s="27" t="s">
        <v>157</v>
      </c>
      <c r="R158" s="57" t="s">
        <v>447</v>
      </c>
      <c r="S158" s="45" t="s">
        <v>65</v>
      </c>
    </row>
    <row r="159" spans="11:19" ht="12.75">
      <c r="K159" s="27">
        <v>2</v>
      </c>
      <c r="L159" s="27"/>
      <c r="M159" s="27"/>
      <c r="N159" s="27"/>
      <c r="O159" s="27"/>
      <c r="P159" s="96" t="s">
        <v>401</v>
      </c>
      <c r="Q159" s="39" t="s">
        <v>63</v>
      </c>
      <c r="R159" s="57" t="s">
        <v>429</v>
      </c>
      <c r="S159" s="45" t="s">
        <v>65</v>
      </c>
    </row>
    <row r="160" spans="9:19" ht="12.75">
      <c r="I160" s="1" t="s">
        <v>710</v>
      </c>
      <c r="K160" s="39">
        <v>2</v>
      </c>
      <c r="L160" s="39"/>
      <c r="M160" s="39"/>
      <c r="N160" s="39">
        <v>2</v>
      </c>
      <c r="O160" s="39"/>
      <c r="P160" s="96" t="s">
        <v>630</v>
      </c>
      <c r="Q160" s="27" t="s">
        <v>526</v>
      </c>
      <c r="R160" s="57" t="s">
        <v>624</v>
      </c>
      <c r="S160" s="45" t="s">
        <v>65</v>
      </c>
    </row>
    <row r="161" spans="11:18" ht="12.75">
      <c r="K161" s="39"/>
      <c r="L161" s="39"/>
      <c r="M161" s="39"/>
      <c r="N161" s="39"/>
      <c r="O161" s="39"/>
      <c r="P161" s="57"/>
      <c r="Q161" s="27"/>
      <c r="R161" s="57"/>
    </row>
    <row r="162" spans="11:20" ht="12.75">
      <c r="K162" s="39"/>
      <c r="L162" s="39">
        <v>3</v>
      </c>
      <c r="M162" s="39"/>
      <c r="N162" s="39"/>
      <c r="O162" s="39"/>
      <c r="P162" s="96" t="s">
        <v>639</v>
      </c>
      <c r="Q162" s="27" t="s">
        <v>625</v>
      </c>
      <c r="R162" s="57" t="s">
        <v>140</v>
      </c>
      <c r="S162" t="s">
        <v>65</v>
      </c>
      <c r="T162" s="35" t="s">
        <v>626</v>
      </c>
    </row>
    <row r="163" spans="11:19" ht="12.75">
      <c r="K163" s="27"/>
      <c r="L163" s="27">
        <v>1</v>
      </c>
      <c r="M163" s="27"/>
      <c r="N163" s="27"/>
      <c r="O163" s="27"/>
      <c r="P163" s="57"/>
      <c r="Q163" s="27" t="s">
        <v>547</v>
      </c>
      <c r="R163" s="57" t="s">
        <v>549</v>
      </c>
      <c r="S163" t="s">
        <v>65</v>
      </c>
    </row>
    <row r="164" spans="11:20" ht="12.75">
      <c r="K164" s="27"/>
      <c r="L164" s="27">
        <v>1</v>
      </c>
      <c r="M164" s="27"/>
      <c r="N164" s="27"/>
      <c r="O164" s="27"/>
      <c r="Q164" s="27" t="s">
        <v>548</v>
      </c>
      <c r="R164" s="57" t="s">
        <v>550</v>
      </c>
      <c r="S164" t="s">
        <v>65</v>
      </c>
      <c r="T164" s="25" t="s">
        <v>551</v>
      </c>
    </row>
    <row r="165" spans="11:15" ht="12.75">
      <c r="K165" s="27"/>
      <c r="L165" s="27"/>
      <c r="M165" s="27"/>
      <c r="N165" s="27"/>
      <c r="O165" s="27"/>
    </row>
    <row r="166" spans="11:20" ht="12.75">
      <c r="K166" s="39"/>
      <c r="L166" s="39"/>
      <c r="M166" s="27">
        <v>3</v>
      </c>
      <c r="N166" s="27">
        <v>3</v>
      </c>
      <c r="O166" s="27"/>
      <c r="P166" s="57" t="s">
        <v>638</v>
      </c>
      <c r="Q166" s="27" t="s">
        <v>430</v>
      </c>
      <c r="R166" s="57" t="s">
        <v>432</v>
      </c>
      <c r="S166" t="s">
        <v>404</v>
      </c>
      <c r="T166" t="s">
        <v>598</v>
      </c>
    </row>
    <row r="167" spans="11:16" ht="12.75">
      <c r="K167" s="39"/>
      <c r="L167" s="39"/>
      <c r="M167" s="27"/>
      <c r="N167" s="27"/>
      <c r="O167" s="27"/>
      <c r="P167" s="57"/>
    </row>
    <row r="168" spans="11:19" ht="12.75">
      <c r="K168" s="39"/>
      <c r="L168" s="39"/>
      <c r="M168" s="39">
        <v>3</v>
      </c>
      <c r="N168" s="39">
        <v>3</v>
      </c>
      <c r="O168" s="39"/>
      <c r="P168" s="96" t="s">
        <v>102</v>
      </c>
      <c r="Q168" s="27" t="s">
        <v>89</v>
      </c>
      <c r="R168" s="57" t="s">
        <v>403</v>
      </c>
      <c r="S168" t="s">
        <v>404</v>
      </c>
    </row>
    <row r="169" spans="11:19" ht="12.75">
      <c r="K169" s="39"/>
      <c r="L169" s="27"/>
      <c r="M169" s="39">
        <v>3</v>
      </c>
      <c r="N169" s="39">
        <v>3</v>
      </c>
      <c r="O169" s="39"/>
      <c r="P169" s="96" t="s">
        <v>103</v>
      </c>
      <c r="Q169" s="27" t="s">
        <v>90</v>
      </c>
      <c r="R169" s="57" t="s">
        <v>403</v>
      </c>
      <c r="S169" t="s">
        <v>404</v>
      </c>
    </row>
    <row r="170" spans="11:19" ht="12.75">
      <c r="K170" s="39"/>
      <c r="L170" s="27"/>
      <c r="M170" s="39">
        <v>3</v>
      </c>
      <c r="N170" s="39">
        <v>3</v>
      </c>
      <c r="O170" s="39"/>
      <c r="P170" s="96" t="s">
        <v>103</v>
      </c>
      <c r="Q170" s="27" t="s">
        <v>91</v>
      </c>
      <c r="R170" s="57" t="s">
        <v>403</v>
      </c>
      <c r="S170" t="s">
        <v>404</v>
      </c>
    </row>
    <row r="171" spans="11:19" ht="12.75">
      <c r="K171" s="39"/>
      <c r="L171" s="27"/>
      <c r="M171" s="39">
        <v>3</v>
      </c>
      <c r="N171" s="39">
        <v>3</v>
      </c>
      <c r="O171" s="27"/>
      <c r="P171" s="96" t="s">
        <v>635</v>
      </c>
      <c r="Q171" s="27" t="s">
        <v>628</v>
      </c>
      <c r="R171" s="57" t="s">
        <v>403</v>
      </c>
      <c r="S171" t="s">
        <v>404</v>
      </c>
    </row>
    <row r="172" spans="11:19" ht="12.75">
      <c r="K172" s="39"/>
      <c r="L172" s="27"/>
      <c r="M172" s="39">
        <v>3</v>
      </c>
      <c r="N172" s="39">
        <v>3</v>
      </c>
      <c r="O172" s="27"/>
      <c r="P172" s="96" t="s">
        <v>636</v>
      </c>
      <c r="Q172" s="27" t="s">
        <v>629</v>
      </c>
      <c r="R172" s="57" t="s">
        <v>403</v>
      </c>
      <c r="S172" t="s">
        <v>404</v>
      </c>
    </row>
    <row r="173" spans="11:19" ht="12.75">
      <c r="K173" s="39"/>
      <c r="L173" s="27"/>
      <c r="M173" s="39">
        <v>3</v>
      </c>
      <c r="N173" s="39">
        <v>3</v>
      </c>
      <c r="O173" s="27"/>
      <c r="P173" s="96" t="s">
        <v>106</v>
      </c>
      <c r="Q173" s="39" t="s">
        <v>698</v>
      </c>
      <c r="R173" s="57" t="s">
        <v>403</v>
      </c>
      <c r="S173" t="s">
        <v>404</v>
      </c>
    </row>
    <row r="174" spans="11:15" ht="12.75">
      <c r="K174" s="39"/>
      <c r="L174" s="27"/>
      <c r="M174" s="27"/>
      <c r="N174" s="27"/>
      <c r="O174" s="27"/>
    </row>
    <row r="175" spans="11:20" ht="12.75">
      <c r="K175" s="39"/>
      <c r="L175" s="39">
        <v>1</v>
      </c>
      <c r="M175" s="39"/>
      <c r="N175" s="39">
        <v>1</v>
      </c>
      <c r="O175" s="39">
        <v>1</v>
      </c>
      <c r="P175" s="96" t="s">
        <v>631</v>
      </c>
      <c r="Q175" s="27" t="s">
        <v>610</v>
      </c>
      <c r="R175" s="96" t="s">
        <v>411</v>
      </c>
      <c r="S175" t="s">
        <v>95</v>
      </c>
      <c r="T175" t="s">
        <v>642</v>
      </c>
    </row>
    <row r="176" spans="11:20" ht="12.75">
      <c r="K176" s="39"/>
      <c r="L176" s="39">
        <v>1</v>
      </c>
      <c r="M176" s="39">
        <v>2</v>
      </c>
      <c r="N176" s="39">
        <v>2</v>
      </c>
      <c r="O176" s="39">
        <v>1</v>
      </c>
      <c r="P176" s="96" t="s">
        <v>29</v>
      </c>
      <c r="Q176" s="27" t="s">
        <v>437</v>
      </c>
      <c r="R176" s="96" t="s">
        <v>407</v>
      </c>
      <c r="S176" t="s">
        <v>95</v>
      </c>
      <c r="T176" t="s">
        <v>642</v>
      </c>
    </row>
    <row r="177" spans="11:19" ht="12.75">
      <c r="K177" s="39"/>
      <c r="L177" s="39">
        <v>1</v>
      </c>
      <c r="M177" s="39"/>
      <c r="N177" s="39"/>
      <c r="O177" s="39"/>
      <c r="P177" s="96" t="s">
        <v>632</v>
      </c>
      <c r="Q177" s="27" t="s">
        <v>440</v>
      </c>
      <c r="R177" s="96" t="s">
        <v>411</v>
      </c>
      <c r="S177" t="s">
        <v>627</v>
      </c>
    </row>
    <row r="178" spans="11:21" ht="12.75">
      <c r="K178" s="39"/>
      <c r="L178" s="39">
        <v>1</v>
      </c>
      <c r="M178" s="39"/>
      <c r="N178" s="39"/>
      <c r="O178" s="39">
        <v>1</v>
      </c>
      <c r="P178" s="96" t="s">
        <v>633</v>
      </c>
      <c r="Q178" s="27" t="s">
        <v>438</v>
      </c>
      <c r="R178" s="96" t="s">
        <v>411</v>
      </c>
      <c r="S178" t="s">
        <v>95</v>
      </c>
      <c r="T178" t="s">
        <v>641</v>
      </c>
      <c r="U178" s="25" t="s">
        <v>10</v>
      </c>
    </row>
    <row r="179" spans="11:20" ht="12.75">
      <c r="K179" s="39"/>
      <c r="L179" s="39">
        <v>1</v>
      </c>
      <c r="M179" s="39"/>
      <c r="N179" s="27"/>
      <c r="O179" s="39">
        <v>1</v>
      </c>
      <c r="P179" s="96" t="s">
        <v>634</v>
      </c>
      <c r="Q179" s="27" t="s">
        <v>439</v>
      </c>
      <c r="R179" s="96" t="s">
        <v>640</v>
      </c>
      <c r="S179" t="s">
        <v>95</v>
      </c>
      <c r="T179" s="25" t="s">
        <v>995</v>
      </c>
    </row>
    <row r="180" spans="9:18" ht="12.75">
      <c r="I180" s="1" t="s">
        <v>725</v>
      </c>
      <c r="K180" s="39"/>
      <c r="L180" s="39"/>
      <c r="M180" s="39"/>
      <c r="N180" s="39"/>
      <c r="O180" s="39"/>
      <c r="P180" s="57"/>
      <c r="Q180" s="27"/>
      <c r="R180" s="57"/>
    </row>
    <row r="181" spans="11:20" ht="12.75">
      <c r="K181" s="39"/>
      <c r="L181" s="39">
        <v>1</v>
      </c>
      <c r="M181" s="39"/>
      <c r="N181" s="39">
        <v>2</v>
      </c>
      <c r="O181" s="39">
        <v>1</v>
      </c>
      <c r="Q181" s="27" t="s">
        <v>314</v>
      </c>
      <c r="R181" s="96" t="s">
        <v>411</v>
      </c>
      <c r="S181" t="s">
        <v>315</v>
      </c>
      <c r="T181" s="17" t="s">
        <v>994</v>
      </c>
    </row>
    <row r="182" spans="11:20" ht="12.75">
      <c r="K182" s="39"/>
      <c r="L182" s="27"/>
      <c r="M182" s="27"/>
      <c r="N182" s="27"/>
      <c r="O182" s="27"/>
      <c r="Q182" s="27" t="s">
        <v>917</v>
      </c>
      <c r="R182" s="96" t="s">
        <v>380</v>
      </c>
      <c r="S182" t="s">
        <v>315</v>
      </c>
      <c r="T182" s="17" t="s">
        <v>994</v>
      </c>
    </row>
    <row r="183" spans="11:20" ht="12.75">
      <c r="K183" s="39"/>
      <c r="L183" s="39">
        <v>1</v>
      </c>
      <c r="M183" s="27"/>
      <c r="N183" s="27">
        <v>3</v>
      </c>
      <c r="O183" s="27">
        <v>1</v>
      </c>
      <c r="Q183" s="27" t="s">
        <v>992</v>
      </c>
      <c r="R183" s="96" t="s">
        <v>407</v>
      </c>
      <c r="S183" t="s">
        <v>315</v>
      </c>
      <c r="T183" s="17" t="s">
        <v>994</v>
      </c>
    </row>
    <row r="184" spans="11:20" ht="12.75">
      <c r="K184" s="39"/>
      <c r="L184" s="27"/>
      <c r="M184" s="27"/>
      <c r="N184" s="27">
        <v>8</v>
      </c>
      <c r="O184" s="27">
        <v>4</v>
      </c>
      <c r="Q184" s="27" t="s">
        <v>919</v>
      </c>
      <c r="R184" s="96" t="s">
        <v>382</v>
      </c>
      <c r="S184" t="s">
        <v>993</v>
      </c>
      <c r="T184" s="17" t="s">
        <v>994</v>
      </c>
    </row>
    <row r="185" spans="11:15" ht="12.75">
      <c r="K185" s="39"/>
      <c r="L185" s="27"/>
      <c r="M185" s="27"/>
      <c r="N185" s="27"/>
      <c r="O185" s="27"/>
    </row>
    <row r="186" spans="11:19" ht="12.75">
      <c r="K186" s="39"/>
      <c r="L186" s="39"/>
      <c r="M186" s="39">
        <v>3</v>
      </c>
      <c r="N186" s="39">
        <v>3</v>
      </c>
      <c r="O186" s="39"/>
      <c r="P186" s="96" t="s">
        <v>100</v>
      </c>
      <c r="Q186" s="27" t="s">
        <v>735</v>
      </c>
      <c r="R186" s="96" t="s">
        <v>407</v>
      </c>
      <c r="S186" s="34" t="s">
        <v>611</v>
      </c>
    </row>
    <row r="187" spans="11:19" ht="12.75">
      <c r="K187" s="39"/>
      <c r="L187" s="39">
        <v>1</v>
      </c>
      <c r="M187" s="39"/>
      <c r="N187" s="39">
        <v>2</v>
      </c>
      <c r="O187" s="39">
        <v>1</v>
      </c>
      <c r="P187" s="96" t="s">
        <v>107</v>
      </c>
      <c r="Q187" s="27" t="s">
        <v>64</v>
      </c>
      <c r="R187" s="96" t="s">
        <v>411</v>
      </c>
      <c r="S187" s="34" t="s">
        <v>611</v>
      </c>
    </row>
    <row r="188" spans="11:18" ht="12.75">
      <c r="K188" s="39"/>
      <c r="L188" s="39"/>
      <c r="M188" s="39"/>
      <c r="N188" s="39"/>
      <c r="O188" s="39"/>
      <c r="P188" s="57"/>
      <c r="Q188" s="27"/>
      <c r="R188" s="57"/>
    </row>
    <row r="189" spans="11:19" ht="12.75">
      <c r="K189" s="27"/>
      <c r="L189" s="39">
        <v>1</v>
      </c>
      <c r="M189" s="39"/>
      <c r="N189" s="39">
        <v>1</v>
      </c>
      <c r="O189" s="39">
        <v>1</v>
      </c>
      <c r="P189" s="96" t="s">
        <v>637</v>
      </c>
      <c r="Q189" s="27" t="s">
        <v>415</v>
      </c>
      <c r="R189" s="96" t="s">
        <v>412</v>
      </c>
      <c r="S189" t="s">
        <v>801</v>
      </c>
    </row>
    <row r="190" spans="11:17" ht="12.75">
      <c r="K190" s="27"/>
      <c r="L190" s="39"/>
      <c r="M190" s="39"/>
      <c r="N190" s="39"/>
      <c r="O190" s="39"/>
      <c r="P190" s="57"/>
      <c r="Q190" s="27"/>
    </row>
    <row r="191" spans="11:20" ht="12.75">
      <c r="K191" s="27"/>
      <c r="L191" s="39">
        <v>1</v>
      </c>
      <c r="M191" s="39"/>
      <c r="N191" s="39"/>
      <c r="O191" s="39">
        <v>1</v>
      </c>
      <c r="P191" s="96" t="s">
        <v>453</v>
      </c>
      <c r="Q191" s="27"/>
      <c r="R191" s="96" t="s">
        <v>448</v>
      </c>
      <c r="S191" s="34" t="s">
        <v>416</v>
      </c>
      <c r="T191" s="25" t="s">
        <v>452</v>
      </c>
    </row>
    <row r="192" spans="11:16" ht="12.75">
      <c r="K192" s="27"/>
      <c r="L192" s="39"/>
      <c r="M192" s="39"/>
      <c r="N192" s="39"/>
      <c r="O192" s="39"/>
      <c r="P192" s="57"/>
    </row>
    <row r="193" spans="11:21" ht="12.75">
      <c r="K193" s="27"/>
      <c r="L193" s="39"/>
      <c r="M193" s="39"/>
      <c r="N193" s="39"/>
      <c r="O193" s="39">
        <v>1</v>
      </c>
      <c r="P193" s="57" t="s">
        <v>991</v>
      </c>
      <c r="Q193" s="27" t="s">
        <v>988</v>
      </c>
      <c r="R193" s="57" t="s">
        <v>990</v>
      </c>
      <c r="S193" t="s">
        <v>608</v>
      </c>
      <c r="U193" s="25" t="s">
        <v>989</v>
      </c>
    </row>
    <row r="194" spans="11:18" ht="12.75">
      <c r="K194" s="27"/>
      <c r="L194" s="27"/>
      <c r="M194" s="27"/>
      <c r="N194" s="27"/>
      <c r="O194" s="27"/>
      <c r="Q194" s="27"/>
      <c r="R194" s="57"/>
    </row>
    <row r="195" spans="11:18" ht="12.75">
      <c r="K195" s="27"/>
      <c r="L195" s="27"/>
      <c r="M195" s="27"/>
      <c r="N195" s="27"/>
      <c r="O195" s="27"/>
      <c r="Q195" s="27"/>
      <c r="R195" s="57"/>
    </row>
    <row r="196" spans="11:17" ht="12.75">
      <c r="K196" s="27"/>
      <c r="L196" s="27"/>
      <c r="M196" s="27"/>
      <c r="N196" s="27"/>
      <c r="O196" s="27"/>
      <c r="Q196" s="27"/>
    </row>
    <row r="197" spans="11:17" ht="12.75">
      <c r="K197" s="27"/>
      <c r="L197" s="27"/>
      <c r="M197" s="27"/>
      <c r="N197" s="27"/>
      <c r="O197" s="27"/>
      <c r="Q197" s="27"/>
    </row>
    <row r="198" spans="11:15" ht="12.75">
      <c r="K198" s="27"/>
      <c r="L198" s="27"/>
      <c r="M198" s="27"/>
      <c r="N198" s="27"/>
      <c r="O198" s="27"/>
    </row>
    <row r="202" ht="12.75">
      <c r="I202" s="1" t="s">
        <v>724</v>
      </c>
    </row>
    <row r="222" ht="12.75">
      <c r="I222" s="1" t="s">
        <v>864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9"/>
  <sheetViews>
    <sheetView workbookViewId="0" topLeftCell="J114">
      <selection activeCell="Q101" sqref="Q101"/>
    </sheetView>
  </sheetViews>
  <sheetFormatPr defaultColWidth="9.140625" defaultRowHeight="12.75"/>
  <cols>
    <col min="1" max="10" width="10.421875" style="0" customWidth="1"/>
    <col min="11" max="14" width="11.8515625" style="0" customWidth="1"/>
    <col min="15" max="15" width="11.57421875" style="0" customWidth="1"/>
    <col min="16" max="16" width="11.8515625" style="0" customWidth="1"/>
    <col min="17" max="18" width="12.140625" style="0" customWidth="1"/>
    <col min="19" max="24" width="10.421875" style="0" customWidth="1"/>
    <col min="25" max="25" width="10.00390625" style="0" customWidth="1"/>
    <col min="26" max="27" width="10.421875" style="0" customWidth="1"/>
    <col min="28" max="28" width="10.00390625" style="0" customWidth="1"/>
    <col min="29" max="30" width="10.421875" style="0" customWidth="1"/>
    <col min="31" max="31" width="2.7109375" style="0" customWidth="1"/>
    <col min="32" max="35" width="10.421875" style="0" customWidth="1"/>
    <col min="36" max="36" width="11.7109375" style="0" customWidth="1"/>
    <col min="37" max="46" width="10.421875" style="0" customWidth="1"/>
    <col min="47" max="47" width="2.7109375" style="0" customWidth="1"/>
    <col min="48" max="16384" width="10.421875" style="0" customWidth="1"/>
  </cols>
  <sheetData>
    <row r="1" spans="1:50" ht="12.75">
      <c r="A1" s="1" t="s">
        <v>699</v>
      </c>
      <c r="B1" t="s">
        <v>743</v>
      </c>
      <c r="C1" s="8" t="s">
        <v>719</v>
      </c>
      <c r="D1" s="3" t="s">
        <v>700</v>
      </c>
      <c r="E1" t="s">
        <v>743</v>
      </c>
      <c r="F1" s="8" t="s">
        <v>719</v>
      </c>
      <c r="G1" s="3" t="s">
        <v>701</v>
      </c>
      <c r="H1" t="s">
        <v>743</v>
      </c>
      <c r="I1" s="8" t="s">
        <v>719</v>
      </c>
      <c r="J1" s="3" t="s">
        <v>702</v>
      </c>
      <c r="K1" t="s">
        <v>743</v>
      </c>
      <c r="L1" s="8" t="s">
        <v>719</v>
      </c>
      <c r="M1" s="3" t="s">
        <v>706</v>
      </c>
      <c r="N1" t="s">
        <v>743</v>
      </c>
      <c r="O1" s="8" t="s">
        <v>719</v>
      </c>
      <c r="P1" s="3" t="s">
        <v>707</v>
      </c>
      <c r="Q1" t="s">
        <v>743</v>
      </c>
      <c r="R1" s="8" t="s">
        <v>719</v>
      </c>
      <c r="S1" s="3" t="s">
        <v>710</v>
      </c>
      <c r="T1" t="s">
        <v>743</v>
      </c>
      <c r="U1" s="8" t="s">
        <v>719</v>
      </c>
      <c r="V1" s="3" t="s">
        <v>725</v>
      </c>
      <c r="W1" t="s">
        <v>743</v>
      </c>
      <c r="X1" s="8" t="s">
        <v>719</v>
      </c>
      <c r="Y1" s="3" t="s">
        <v>724</v>
      </c>
      <c r="Z1" t="s">
        <v>743</v>
      </c>
      <c r="AA1" s="8" t="s">
        <v>719</v>
      </c>
      <c r="AB1" s="3" t="s">
        <v>864</v>
      </c>
      <c r="AC1" t="s">
        <v>743</v>
      </c>
      <c r="AD1" s="8" t="s">
        <v>719</v>
      </c>
      <c r="AF1" s="3" t="s">
        <v>714</v>
      </c>
      <c r="AG1" t="s">
        <v>743</v>
      </c>
      <c r="AH1" s="8" t="s">
        <v>719</v>
      </c>
      <c r="AI1" s="15" t="s">
        <v>711</v>
      </c>
      <c r="AJ1" t="s">
        <v>743</v>
      </c>
      <c r="AK1" s="8" t="s">
        <v>719</v>
      </c>
      <c r="AL1" s="15" t="s">
        <v>712</v>
      </c>
      <c r="AM1" t="s">
        <v>743</v>
      </c>
      <c r="AN1" s="8" t="s">
        <v>719</v>
      </c>
      <c r="AO1" s="15" t="s">
        <v>713</v>
      </c>
      <c r="AP1" t="s">
        <v>743</v>
      </c>
      <c r="AQ1" s="8" t="s">
        <v>719</v>
      </c>
      <c r="AR1" s="15" t="s">
        <v>863</v>
      </c>
      <c r="AS1" t="s">
        <v>743</v>
      </c>
      <c r="AT1" s="8" t="s">
        <v>719</v>
      </c>
      <c r="AV1" s="1" t="s">
        <v>721</v>
      </c>
      <c r="AW1" t="s">
        <v>743</v>
      </c>
      <c r="AX1" s="8" t="s">
        <v>719</v>
      </c>
    </row>
    <row r="2" spans="1:50" ht="12.75">
      <c r="A2" s="102" t="s">
        <v>240</v>
      </c>
      <c r="C2" s="8"/>
      <c r="D2" s="4"/>
      <c r="F2" s="8"/>
      <c r="G2" s="4"/>
      <c r="I2" s="8"/>
      <c r="J2" s="4"/>
      <c r="L2" s="8"/>
      <c r="M2" s="4"/>
      <c r="O2" s="8"/>
      <c r="P2" s="4"/>
      <c r="R2" s="8"/>
      <c r="S2" s="4"/>
      <c r="U2" s="8"/>
      <c r="V2" s="4"/>
      <c r="X2" s="8"/>
      <c r="Y2" s="4"/>
      <c r="AA2" s="8"/>
      <c r="AB2" s="101"/>
      <c r="AK2" s="8"/>
      <c r="AL2" s="4"/>
      <c r="AN2" s="8"/>
      <c r="AO2" s="4"/>
      <c r="AQ2" s="8"/>
      <c r="AR2" s="4"/>
      <c r="AT2" s="8"/>
      <c r="AV2" s="24" t="s">
        <v>722</v>
      </c>
      <c r="AX2" s="8"/>
    </row>
    <row r="3" spans="1:50" ht="12.75">
      <c r="A3" s="8">
        <v>0</v>
      </c>
      <c r="B3" s="8">
        <v>124</v>
      </c>
      <c r="C3" s="7">
        <f aca="true" t="shared" si="0" ref="C3:C25">B3*1.688</f>
        <v>209.31199999999998</v>
      </c>
      <c r="D3" s="8">
        <v>0</v>
      </c>
      <c r="E3" s="8">
        <v>183</v>
      </c>
      <c r="F3" s="7">
        <f>E3*1.688</f>
        <v>308.904</v>
      </c>
      <c r="G3" s="8">
        <v>0</v>
      </c>
      <c r="H3" s="7">
        <v>228</v>
      </c>
      <c r="I3" s="7">
        <f aca="true" t="shared" si="1" ref="I3:I25">H3*1.688</f>
        <v>384.864</v>
      </c>
      <c r="J3" s="8">
        <v>0</v>
      </c>
      <c r="K3" s="7">
        <v>271</v>
      </c>
      <c r="L3" s="7">
        <f aca="true" t="shared" si="2" ref="L3:L23">K3*1.688</f>
        <v>457.448</v>
      </c>
      <c r="M3" s="8">
        <v>0</v>
      </c>
      <c r="N3" s="7">
        <v>305</v>
      </c>
      <c r="O3" s="7">
        <f aca="true" t="shared" si="3" ref="O3:O21">N3*1.688</f>
        <v>514.84</v>
      </c>
      <c r="P3" s="8">
        <v>0</v>
      </c>
      <c r="Q3" s="7">
        <v>340</v>
      </c>
      <c r="R3" s="7">
        <f aca="true" t="shared" si="4" ref="R3:R19">Q3*1.688</f>
        <v>573.92</v>
      </c>
      <c r="S3" s="8">
        <v>0</v>
      </c>
      <c r="T3" s="7">
        <v>373</v>
      </c>
      <c r="U3" s="7">
        <f aca="true" t="shared" si="5" ref="U3:U18">T3*1.688</f>
        <v>629.624</v>
      </c>
      <c r="V3" s="8">
        <v>0</v>
      </c>
      <c r="W3" s="7">
        <v>408</v>
      </c>
      <c r="X3" s="7">
        <f aca="true" t="shared" si="6" ref="X3:X17">W3*1.688</f>
        <v>688.704</v>
      </c>
      <c r="Y3" s="8">
        <v>0</v>
      </c>
      <c r="Z3" s="7">
        <v>463</v>
      </c>
      <c r="AA3" s="7">
        <f aca="true" t="shared" si="7" ref="AA3:AA15">Z3*1.688</f>
        <v>781.544</v>
      </c>
      <c r="AB3" s="8">
        <v>0</v>
      </c>
      <c r="AC3" s="7">
        <v>529</v>
      </c>
      <c r="AD3" s="7">
        <f aca="true" t="shared" si="8" ref="AD3:AD12">AC3*1.688</f>
        <v>892.952</v>
      </c>
      <c r="AF3" s="8">
        <v>0</v>
      </c>
      <c r="AG3" s="7">
        <f aca="true" t="shared" si="9" ref="AG3:AG13">B3-10</f>
        <v>114</v>
      </c>
      <c r="AH3" s="7">
        <f aca="true" t="shared" si="10" ref="AH3:AH25">AG3*1.688</f>
        <v>192.432</v>
      </c>
      <c r="AI3" s="8">
        <v>0</v>
      </c>
      <c r="AJ3" s="8"/>
      <c r="AK3" s="7">
        <f>AJ3*1.688</f>
        <v>0</v>
      </c>
      <c r="AL3" s="8">
        <v>0</v>
      </c>
      <c r="AM3" s="8"/>
      <c r="AN3" s="7">
        <f>AM3*1.688</f>
        <v>0</v>
      </c>
      <c r="AO3" s="8">
        <v>0</v>
      </c>
      <c r="AP3" s="7"/>
      <c r="AQ3" s="7">
        <f>AP3*1.688</f>
        <v>0</v>
      </c>
      <c r="AR3" s="8">
        <v>0</v>
      </c>
      <c r="AS3" s="7"/>
      <c r="AT3" s="7">
        <f>AS3*1.688</f>
        <v>0</v>
      </c>
      <c r="AV3" s="8">
        <v>0</v>
      </c>
      <c r="AW3" s="8">
        <v>124</v>
      </c>
      <c r="AX3" s="7">
        <f aca="true" t="shared" si="11" ref="AX3:AX25">AW3*1.688</f>
        <v>209.31199999999998</v>
      </c>
    </row>
    <row r="4" spans="1:50" ht="12.75">
      <c r="A4" s="20">
        <v>5000</v>
      </c>
      <c r="B4" s="33">
        <v>143</v>
      </c>
      <c r="C4" s="7">
        <f t="shared" si="0"/>
        <v>241.384</v>
      </c>
      <c r="D4" s="20">
        <v>5000</v>
      </c>
      <c r="E4" s="38">
        <v>202</v>
      </c>
      <c r="F4" s="7">
        <f aca="true" t="shared" si="12" ref="F4:F25">E4*1.688</f>
        <v>340.976</v>
      </c>
      <c r="G4" s="20">
        <v>5000</v>
      </c>
      <c r="H4" s="38">
        <v>245</v>
      </c>
      <c r="I4" s="7">
        <f t="shared" si="1"/>
        <v>413.56</v>
      </c>
      <c r="J4" s="20">
        <v>5000</v>
      </c>
      <c r="K4" s="51">
        <v>289</v>
      </c>
      <c r="L4" s="7">
        <f t="shared" si="2"/>
        <v>487.832</v>
      </c>
      <c r="M4" s="20">
        <v>5000</v>
      </c>
      <c r="N4" s="51">
        <v>331</v>
      </c>
      <c r="O4" s="7">
        <f t="shared" si="3"/>
        <v>558.728</v>
      </c>
      <c r="P4" s="20">
        <v>5000</v>
      </c>
      <c r="Q4" s="51">
        <v>367</v>
      </c>
      <c r="R4" s="7">
        <f t="shared" si="4"/>
        <v>619.496</v>
      </c>
      <c r="S4" s="20">
        <v>5000</v>
      </c>
      <c r="T4" s="51">
        <v>401</v>
      </c>
      <c r="U4" s="7">
        <f t="shared" si="5"/>
        <v>676.888</v>
      </c>
      <c r="V4" s="20">
        <v>5000</v>
      </c>
      <c r="W4" s="51">
        <v>442</v>
      </c>
      <c r="X4" s="7">
        <f t="shared" si="6"/>
        <v>746.096</v>
      </c>
      <c r="Y4" s="20">
        <v>5000</v>
      </c>
      <c r="Z4" s="51">
        <v>500</v>
      </c>
      <c r="AA4" s="7">
        <f t="shared" si="7"/>
        <v>844</v>
      </c>
      <c r="AB4" s="20">
        <v>5000</v>
      </c>
      <c r="AC4" s="55">
        <v>565</v>
      </c>
      <c r="AD4" s="7">
        <f t="shared" si="8"/>
        <v>953.7199999999999</v>
      </c>
      <c r="AF4" s="20">
        <v>5000</v>
      </c>
      <c r="AG4" s="7">
        <f t="shared" si="9"/>
        <v>133</v>
      </c>
      <c r="AH4" s="7">
        <f t="shared" si="10"/>
        <v>224.504</v>
      </c>
      <c r="AI4" s="20">
        <v>5000</v>
      </c>
      <c r="AJ4" s="33"/>
      <c r="AK4" s="7">
        <f aca="true" t="shared" si="13" ref="AK4:AK25">AJ4*1.688</f>
        <v>0</v>
      </c>
      <c r="AL4" s="20">
        <v>5000</v>
      </c>
      <c r="AM4" s="38"/>
      <c r="AN4" s="7">
        <f aca="true" t="shared" si="14" ref="AN4:AN25">AM4*1.688</f>
        <v>0</v>
      </c>
      <c r="AO4" s="20">
        <v>5000</v>
      </c>
      <c r="AP4" s="38"/>
      <c r="AQ4" s="7">
        <f aca="true" t="shared" si="15" ref="AQ4:AQ24">AP4*1.688</f>
        <v>0</v>
      </c>
      <c r="AR4" s="20">
        <v>5000</v>
      </c>
      <c r="AS4" s="51"/>
      <c r="AT4" s="7">
        <f aca="true" t="shared" si="16" ref="AT4:AT23">AS4*1.688</f>
        <v>0</v>
      </c>
      <c r="AV4" s="20">
        <v>5000</v>
      </c>
      <c r="AW4" s="33">
        <v>143</v>
      </c>
      <c r="AX4" s="7">
        <f t="shared" si="11"/>
        <v>241.384</v>
      </c>
    </row>
    <row r="5" spans="1:50" ht="12.75">
      <c r="A5" s="6">
        <v>10000</v>
      </c>
      <c r="B5" s="33">
        <v>153</v>
      </c>
      <c r="C5" s="7">
        <f t="shared" si="0"/>
        <v>258.264</v>
      </c>
      <c r="D5" s="6">
        <v>10000</v>
      </c>
      <c r="E5" s="52">
        <v>217</v>
      </c>
      <c r="F5" s="7">
        <f t="shared" si="12"/>
        <v>366.296</v>
      </c>
      <c r="G5" s="6">
        <v>10000</v>
      </c>
      <c r="H5" s="52">
        <v>268</v>
      </c>
      <c r="I5" s="7">
        <f t="shared" si="1"/>
        <v>452.38399999999996</v>
      </c>
      <c r="J5" s="6">
        <v>10000</v>
      </c>
      <c r="K5" s="52">
        <v>312</v>
      </c>
      <c r="L5" s="7">
        <f t="shared" si="2"/>
        <v>526.656</v>
      </c>
      <c r="M5" s="6">
        <v>10000</v>
      </c>
      <c r="N5" s="52">
        <v>358</v>
      </c>
      <c r="O5" s="7">
        <f t="shared" si="3"/>
        <v>604.304</v>
      </c>
      <c r="P5" s="6">
        <v>10000</v>
      </c>
      <c r="Q5" s="52">
        <v>396</v>
      </c>
      <c r="R5" s="7">
        <f t="shared" si="4"/>
        <v>668.448</v>
      </c>
      <c r="S5" s="6">
        <v>10000</v>
      </c>
      <c r="T5" s="51">
        <v>434</v>
      </c>
      <c r="U5" s="7">
        <f t="shared" si="5"/>
        <v>732.592</v>
      </c>
      <c r="V5" s="6">
        <v>10000</v>
      </c>
      <c r="W5" s="51">
        <v>478</v>
      </c>
      <c r="X5" s="7">
        <f t="shared" si="6"/>
        <v>806.8639999999999</v>
      </c>
      <c r="Y5" s="6">
        <v>10000</v>
      </c>
      <c r="Z5" s="51">
        <v>536</v>
      </c>
      <c r="AA5" s="7">
        <f t="shared" si="7"/>
        <v>904.7679999999999</v>
      </c>
      <c r="AB5" s="6">
        <v>10000</v>
      </c>
      <c r="AC5" s="7">
        <v>599</v>
      </c>
      <c r="AD5" s="7">
        <f t="shared" si="8"/>
        <v>1011.112</v>
      </c>
      <c r="AF5" s="6">
        <v>10000</v>
      </c>
      <c r="AG5" s="7">
        <f t="shared" si="9"/>
        <v>143</v>
      </c>
      <c r="AH5" s="7">
        <f t="shared" si="10"/>
        <v>241.384</v>
      </c>
      <c r="AI5" s="6">
        <v>10000</v>
      </c>
      <c r="AK5" s="7">
        <f t="shared" si="13"/>
        <v>0</v>
      </c>
      <c r="AL5" s="6">
        <v>10000</v>
      </c>
      <c r="AM5" s="2"/>
      <c r="AN5" s="7">
        <f t="shared" si="14"/>
        <v>0</v>
      </c>
      <c r="AO5" s="6">
        <v>10000</v>
      </c>
      <c r="AP5" s="2"/>
      <c r="AQ5" s="7">
        <f t="shared" si="15"/>
        <v>0</v>
      </c>
      <c r="AR5" s="6">
        <v>10000</v>
      </c>
      <c r="AT5" s="7">
        <f t="shared" si="16"/>
        <v>0</v>
      </c>
      <c r="AV5" s="6">
        <v>10000</v>
      </c>
      <c r="AW5" s="33">
        <v>153</v>
      </c>
      <c r="AX5" s="7">
        <f t="shared" si="11"/>
        <v>258.264</v>
      </c>
    </row>
    <row r="6" spans="1:50" ht="12.75">
      <c r="A6" s="6">
        <v>15000</v>
      </c>
      <c r="B6" s="38">
        <v>162</v>
      </c>
      <c r="C6" s="7">
        <f t="shared" si="0"/>
        <v>273.456</v>
      </c>
      <c r="D6" s="6">
        <v>15000</v>
      </c>
      <c r="E6" s="38">
        <v>233</v>
      </c>
      <c r="F6" s="7">
        <f t="shared" si="12"/>
        <v>393.304</v>
      </c>
      <c r="G6" s="6">
        <v>15000</v>
      </c>
      <c r="H6" s="38">
        <v>294</v>
      </c>
      <c r="I6" s="7">
        <f t="shared" si="1"/>
        <v>496.272</v>
      </c>
      <c r="J6" s="6">
        <v>15000</v>
      </c>
      <c r="K6" s="51">
        <v>338</v>
      </c>
      <c r="L6" s="7">
        <f t="shared" si="2"/>
        <v>570.544</v>
      </c>
      <c r="M6" s="6">
        <v>15000</v>
      </c>
      <c r="N6" s="33">
        <v>388</v>
      </c>
      <c r="O6" s="7">
        <f t="shared" si="3"/>
        <v>654.944</v>
      </c>
      <c r="P6" s="6">
        <v>15000</v>
      </c>
      <c r="Q6" s="51">
        <v>429</v>
      </c>
      <c r="R6" s="7">
        <f t="shared" si="4"/>
        <v>724.1519999999999</v>
      </c>
      <c r="S6" s="6">
        <v>15000</v>
      </c>
      <c r="T6" s="51">
        <v>470</v>
      </c>
      <c r="U6" s="7">
        <f t="shared" si="5"/>
        <v>793.36</v>
      </c>
      <c r="V6" s="6">
        <v>15000</v>
      </c>
      <c r="W6" s="51">
        <v>520</v>
      </c>
      <c r="X6" s="7">
        <f t="shared" si="6"/>
        <v>877.76</v>
      </c>
      <c r="Y6" s="6">
        <v>15000</v>
      </c>
      <c r="Z6" s="51">
        <v>579</v>
      </c>
      <c r="AA6" s="7">
        <f t="shared" si="7"/>
        <v>977.352</v>
      </c>
      <c r="AB6" s="6">
        <v>15000</v>
      </c>
      <c r="AC6" s="7">
        <v>641</v>
      </c>
      <c r="AD6" s="7">
        <f t="shared" si="8"/>
        <v>1082.008</v>
      </c>
      <c r="AF6" s="6">
        <v>15000</v>
      </c>
      <c r="AG6" s="7">
        <f t="shared" si="9"/>
        <v>152</v>
      </c>
      <c r="AH6" s="7">
        <f t="shared" si="10"/>
        <v>256.57599999999996</v>
      </c>
      <c r="AI6" s="6">
        <v>15000</v>
      </c>
      <c r="AJ6" s="38"/>
      <c r="AK6" s="7">
        <f t="shared" si="13"/>
        <v>0</v>
      </c>
      <c r="AL6" s="6">
        <v>15000</v>
      </c>
      <c r="AM6" s="38"/>
      <c r="AN6" s="7">
        <f t="shared" si="14"/>
        <v>0</v>
      </c>
      <c r="AO6" s="6">
        <v>15000</v>
      </c>
      <c r="AP6" s="38"/>
      <c r="AQ6" s="7">
        <f t="shared" si="15"/>
        <v>0</v>
      </c>
      <c r="AR6" s="6">
        <v>15000</v>
      </c>
      <c r="AS6" s="63"/>
      <c r="AT6" s="7">
        <f t="shared" si="16"/>
        <v>0</v>
      </c>
      <c r="AV6" s="6">
        <v>15000</v>
      </c>
      <c r="AW6" s="38">
        <v>162</v>
      </c>
      <c r="AX6" s="7">
        <f t="shared" si="11"/>
        <v>273.456</v>
      </c>
    </row>
    <row r="7" spans="1:50" ht="12.75">
      <c r="A7" s="6">
        <v>20000</v>
      </c>
      <c r="B7" s="33">
        <v>175</v>
      </c>
      <c r="C7" s="7">
        <f t="shared" si="0"/>
        <v>295.4</v>
      </c>
      <c r="D7" s="6">
        <v>20000</v>
      </c>
      <c r="E7" s="52">
        <v>258</v>
      </c>
      <c r="F7" s="7">
        <f t="shared" si="12"/>
        <v>435.50399999999996</v>
      </c>
      <c r="G7" s="6">
        <v>20000</v>
      </c>
      <c r="H7" s="38">
        <v>319</v>
      </c>
      <c r="I7" s="7">
        <f t="shared" si="1"/>
        <v>538.472</v>
      </c>
      <c r="J7" s="6">
        <v>20000</v>
      </c>
      <c r="K7" s="38">
        <v>374</v>
      </c>
      <c r="L7" s="7">
        <f t="shared" si="2"/>
        <v>631.312</v>
      </c>
      <c r="M7" s="6">
        <v>20000</v>
      </c>
      <c r="N7" s="33">
        <v>420</v>
      </c>
      <c r="O7" s="7">
        <f t="shared" si="3"/>
        <v>708.9599999999999</v>
      </c>
      <c r="P7" s="6">
        <v>20000</v>
      </c>
      <c r="Q7" s="52">
        <v>470</v>
      </c>
      <c r="R7" s="7">
        <f t="shared" si="4"/>
        <v>793.36</v>
      </c>
      <c r="S7" s="6">
        <v>20000</v>
      </c>
      <c r="T7" s="52">
        <v>513</v>
      </c>
      <c r="U7" s="7">
        <f t="shared" si="5"/>
        <v>865.944</v>
      </c>
      <c r="V7" s="6">
        <v>20000</v>
      </c>
      <c r="W7" s="52">
        <v>565</v>
      </c>
      <c r="X7" s="7">
        <f t="shared" si="6"/>
        <v>953.7199999999999</v>
      </c>
      <c r="Y7" s="6">
        <v>20000</v>
      </c>
      <c r="Z7" s="51">
        <v>629</v>
      </c>
      <c r="AA7" s="7">
        <f t="shared" si="7"/>
        <v>1061.752</v>
      </c>
      <c r="AB7" s="6">
        <v>20000</v>
      </c>
      <c r="AC7" s="7">
        <v>700</v>
      </c>
      <c r="AD7" s="7">
        <f t="shared" si="8"/>
        <v>1181.6</v>
      </c>
      <c r="AF7" s="6">
        <v>20000</v>
      </c>
      <c r="AG7" s="7">
        <f t="shared" si="9"/>
        <v>165</v>
      </c>
      <c r="AH7" s="7">
        <f t="shared" si="10"/>
        <v>278.52</v>
      </c>
      <c r="AI7" s="6">
        <v>20000</v>
      </c>
      <c r="AK7" s="7">
        <f t="shared" si="13"/>
        <v>0</v>
      </c>
      <c r="AL7" s="6">
        <v>20000</v>
      </c>
      <c r="AM7" s="2"/>
      <c r="AN7" s="7">
        <f t="shared" si="14"/>
        <v>0</v>
      </c>
      <c r="AO7" s="6">
        <v>20000</v>
      </c>
      <c r="AP7" s="70"/>
      <c r="AQ7" s="7">
        <f t="shared" si="15"/>
        <v>0</v>
      </c>
      <c r="AR7" s="6">
        <v>20000</v>
      </c>
      <c r="AS7" s="7"/>
      <c r="AT7" s="7">
        <f t="shared" si="16"/>
        <v>0</v>
      </c>
      <c r="AV7" s="6">
        <v>20000</v>
      </c>
      <c r="AW7" s="33">
        <v>175</v>
      </c>
      <c r="AX7" s="7">
        <f t="shared" si="11"/>
        <v>295.4</v>
      </c>
    </row>
    <row r="8" spans="1:50" ht="12.75">
      <c r="A8" s="6">
        <v>25000</v>
      </c>
      <c r="B8" s="38">
        <v>195</v>
      </c>
      <c r="C8" s="7">
        <f t="shared" si="0"/>
        <v>329.15999999999997</v>
      </c>
      <c r="D8" s="6">
        <v>25000</v>
      </c>
      <c r="E8" s="38">
        <v>283</v>
      </c>
      <c r="F8" s="7">
        <f t="shared" si="12"/>
        <v>477.704</v>
      </c>
      <c r="G8" s="6">
        <v>25000</v>
      </c>
      <c r="H8" s="52">
        <v>346</v>
      </c>
      <c r="I8" s="7">
        <f t="shared" si="1"/>
        <v>584.048</v>
      </c>
      <c r="J8" s="6">
        <v>25000</v>
      </c>
      <c r="K8" s="38">
        <v>406</v>
      </c>
      <c r="L8" s="7">
        <f t="shared" si="2"/>
        <v>685.328</v>
      </c>
      <c r="M8" s="6">
        <v>25000</v>
      </c>
      <c r="N8" s="52">
        <v>463</v>
      </c>
      <c r="O8" s="7">
        <f t="shared" si="3"/>
        <v>781.544</v>
      </c>
      <c r="P8" s="6">
        <v>25000</v>
      </c>
      <c r="Q8" s="52">
        <v>511</v>
      </c>
      <c r="R8" s="7">
        <f t="shared" si="4"/>
        <v>862.568</v>
      </c>
      <c r="S8" s="6">
        <v>25000</v>
      </c>
      <c r="T8" s="51">
        <v>556</v>
      </c>
      <c r="U8" s="7">
        <f t="shared" si="5"/>
        <v>938.528</v>
      </c>
      <c r="V8" s="6">
        <v>25000</v>
      </c>
      <c r="W8" s="51">
        <v>608</v>
      </c>
      <c r="X8" s="7">
        <f t="shared" si="6"/>
        <v>1026.3039999999999</v>
      </c>
      <c r="Y8" s="6">
        <v>25000</v>
      </c>
      <c r="Z8" s="51">
        <v>698</v>
      </c>
      <c r="AA8" s="7">
        <f t="shared" si="7"/>
        <v>1178.224</v>
      </c>
      <c r="AB8" s="13">
        <v>20000</v>
      </c>
      <c r="AC8" s="33">
        <v>974</v>
      </c>
      <c r="AD8" s="7">
        <f t="shared" si="8"/>
        <v>1644.1119999999999</v>
      </c>
      <c r="AF8" s="6">
        <v>25000</v>
      </c>
      <c r="AG8" s="7">
        <f t="shared" si="9"/>
        <v>185</v>
      </c>
      <c r="AH8" s="7">
        <f t="shared" si="10"/>
        <v>312.28</v>
      </c>
      <c r="AI8" s="6">
        <v>25000</v>
      </c>
      <c r="AJ8" s="38"/>
      <c r="AK8" s="7">
        <f t="shared" si="13"/>
        <v>0</v>
      </c>
      <c r="AL8" s="6">
        <v>25000</v>
      </c>
      <c r="AM8" s="38"/>
      <c r="AN8" s="7">
        <f t="shared" si="14"/>
        <v>0</v>
      </c>
      <c r="AO8" s="6">
        <v>25000</v>
      </c>
      <c r="AP8" s="2"/>
      <c r="AQ8" s="7">
        <f t="shared" si="15"/>
        <v>0</v>
      </c>
      <c r="AR8" s="6">
        <v>25000</v>
      </c>
      <c r="AS8" s="2"/>
      <c r="AT8" s="7">
        <f t="shared" si="16"/>
        <v>0</v>
      </c>
      <c r="AV8" s="6">
        <v>25000</v>
      </c>
      <c r="AW8" s="38">
        <v>195</v>
      </c>
      <c r="AX8" s="7">
        <f t="shared" si="11"/>
        <v>329.15999999999997</v>
      </c>
    </row>
    <row r="9" spans="1:50" ht="12.75">
      <c r="A9" s="21">
        <v>30000</v>
      </c>
      <c r="B9" s="52">
        <v>215</v>
      </c>
      <c r="C9" s="7">
        <f t="shared" si="0"/>
        <v>362.92</v>
      </c>
      <c r="D9" s="21">
        <v>30000</v>
      </c>
      <c r="E9" s="52">
        <v>306</v>
      </c>
      <c r="F9" s="7">
        <f t="shared" si="12"/>
        <v>516.528</v>
      </c>
      <c r="G9" s="21">
        <v>30000</v>
      </c>
      <c r="H9" s="38">
        <v>380</v>
      </c>
      <c r="I9" s="7">
        <f t="shared" si="1"/>
        <v>641.4399999999999</v>
      </c>
      <c r="J9" s="21">
        <v>30000</v>
      </c>
      <c r="K9" s="51">
        <v>447</v>
      </c>
      <c r="L9" s="7">
        <f t="shared" si="2"/>
        <v>754.536</v>
      </c>
      <c r="M9" s="21">
        <v>30000</v>
      </c>
      <c r="N9" s="51">
        <v>506</v>
      </c>
      <c r="O9" s="7">
        <f t="shared" si="3"/>
        <v>854.1279999999999</v>
      </c>
      <c r="P9" s="21">
        <v>30000</v>
      </c>
      <c r="Q9" s="51">
        <v>552</v>
      </c>
      <c r="R9" s="7">
        <f t="shared" si="4"/>
        <v>931.776</v>
      </c>
      <c r="S9" s="21">
        <v>30000</v>
      </c>
      <c r="T9" s="51">
        <v>633</v>
      </c>
      <c r="U9" s="7">
        <f t="shared" si="5"/>
        <v>1068.504</v>
      </c>
      <c r="V9" s="21">
        <v>30000</v>
      </c>
      <c r="W9" s="51">
        <v>895</v>
      </c>
      <c r="X9" s="7">
        <f t="shared" si="6"/>
        <v>1510.76</v>
      </c>
      <c r="Y9" s="21">
        <v>30000</v>
      </c>
      <c r="Z9" s="2">
        <f>((Z10-Z8)/2)+Z8</f>
        <v>860</v>
      </c>
      <c r="AA9" s="7">
        <f t="shared" si="7"/>
        <v>1451.68</v>
      </c>
      <c r="AB9" s="20">
        <v>15000</v>
      </c>
      <c r="AC9" s="33">
        <v>928</v>
      </c>
      <c r="AD9" s="7">
        <f t="shared" si="8"/>
        <v>1566.464</v>
      </c>
      <c r="AF9" s="21">
        <v>30000</v>
      </c>
      <c r="AG9" s="7">
        <f t="shared" si="9"/>
        <v>205</v>
      </c>
      <c r="AH9" s="7">
        <f t="shared" si="10"/>
        <v>346.03999999999996</v>
      </c>
      <c r="AI9" s="21">
        <v>30000</v>
      </c>
      <c r="AK9" s="7">
        <f t="shared" si="13"/>
        <v>0</v>
      </c>
      <c r="AL9" s="21">
        <v>30000</v>
      </c>
      <c r="AN9" s="7">
        <f t="shared" si="14"/>
        <v>0</v>
      </c>
      <c r="AO9" s="21">
        <v>30000</v>
      </c>
      <c r="AP9" s="8"/>
      <c r="AQ9" s="7">
        <f t="shared" si="15"/>
        <v>0</v>
      </c>
      <c r="AR9" s="21">
        <v>30000</v>
      </c>
      <c r="AS9" s="8"/>
      <c r="AT9" s="7">
        <f t="shared" si="16"/>
        <v>0</v>
      </c>
      <c r="AV9" s="21">
        <v>30000</v>
      </c>
      <c r="AW9" s="52">
        <v>215</v>
      </c>
      <c r="AX9" s="7">
        <f t="shared" si="11"/>
        <v>362.92</v>
      </c>
    </row>
    <row r="10" spans="1:50" ht="12.75">
      <c r="A10" s="13">
        <v>35000</v>
      </c>
      <c r="B10" s="33">
        <v>236</v>
      </c>
      <c r="C10" s="7">
        <f t="shared" si="0"/>
        <v>398.368</v>
      </c>
      <c r="D10" s="13">
        <v>35000</v>
      </c>
      <c r="E10" s="33">
        <v>340</v>
      </c>
      <c r="F10" s="7">
        <f t="shared" si="12"/>
        <v>573.92</v>
      </c>
      <c r="G10" s="13">
        <v>35000</v>
      </c>
      <c r="H10" s="38">
        <v>418</v>
      </c>
      <c r="I10" s="7">
        <f t="shared" si="1"/>
        <v>705.584</v>
      </c>
      <c r="J10" s="13">
        <v>35000</v>
      </c>
      <c r="K10" s="51">
        <v>487</v>
      </c>
      <c r="L10" s="7">
        <f t="shared" si="2"/>
        <v>822.0559999999999</v>
      </c>
      <c r="M10" s="13">
        <v>35000</v>
      </c>
      <c r="N10" s="51">
        <v>543</v>
      </c>
      <c r="O10" s="7">
        <f t="shared" si="3"/>
        <v>916.584</v>
      </c>
      <c r="P10" s="13">
        <v>35000</v>
      </c>
      <c r="Q10" s="51">
        <v>657</v>
      </c>
      <c r="R10" s="7">
        <f t="shared" si="4"/>
        <v>1109.016</v>
      </c>
      <c r="S10" s="13">
        <v>35000</v>
      </c>
      <c r="T10" s="51">
        <v>1066</v>
      </c>
      <c r="U10" s="7">
        <f t="shared" si="5"/>
        <v>1799.408</v>
      </c>
      <c r="V10" s="21">
        <v>31000</v>
      </c>
      <c r="W10" s="2">
        <f>((W11-W9)/2)+W9</f>
        <v>982.5</v>
      </c>
      <c r="X10" s="7">
        <f t="shared" si="6"/>
        <v>1658.46</v>
      </c>
      <c r="Y10" s="20">
        <v>25000</v>
      </c>
      <c r="Z10" s="33">
        <v>1022</v>
      </c>
      <c r="AA10" s="7">
        <f t="shared" si="7"/>
        <v>1725.136</v>
      </c>
      <c r="AB10" s="13">
        <v>10000</v>
      </c>
      <c r="AC10" s="33">
        <v>884</v>
      </c>
      <c r="AD10" s="7">
        <f t="shared" si="8"/>
        <v>1492.192</v>
      </c>
      <c r="AF10" s="13">
        <v>35000</v>
      </c>
      <c r="AG10" s="7">
        <f t="shared" si="9"/>
        <v>226</v>
      </c>
      <c r="AH10" s="7">
        <f t="shared" si="10"/>
        <v>381.488</v>
      </c>
      <c r="AI10" s="13">
        <v>35000</v>
      </c>
      <c r="AJ10" s="8"/>
      <c r="AK10" s="7">
        <f t="shared" si="13"/>
        <v>0</v>
      </c>
      <c r="AL10" s="13">
        <v>35000</v>
      </c>
      <c r="AM10" s="8"/>
      <c r="AN10" s="7">
        <f t="shared" si="14"/>
        <v>0</v>
      </c>
      <c r="AO10" s="13">
        <v>35000</v>
      </c>
      <c r="AP10" s="8"/>
      <c r="AQ10" s="7">
        <f t="shared" si="15"/>
        <v>0</v>
      </c>
      <c r="AR10" s="13">
        <v>35000</v>
      </c>
      <c r="AS10" s="7"/>
      <c r="AT10" s="7">
        <f t="shared" si="16"/>
        <v>0</v>
      </c>
      <c r="AV10" s="13">
        <v>35000</v>
      </c>
      <c r="AW10" s="33">
        <v>236</v>
      </c>
      <c r="AX10" s="7">
        <f t="shared" si="11"/>
        <v>398.368</v>
      </c>
    </row>
    <row r="11" spans="1:50" ht="12.75">
      <c r="A11" s="13">
        <v>40000</v>
      </c>
      <c r="B11" s="33">
        <v>266</v>
      </c>
      <c r="C11" s="7">
        <f t="shared" si="0"/>
        <v>449.008</v>
      </c>
      <c r="D11" s="13">
        <v>40000</v>
      </c>
      <c r="E11" s="33">
        <v>381</v>
      </c>
      <c r="F11" s="7">
        <f t="shared" si="12"/>
        <v>643.1279999999999</v>
      </c>
      <c r="G11" s="13">
        <v>40000</v>
      </c>
      <c r="H11" s="51">
        <v>470</v>
      </c>
      <c r="I11" s="7">
        <f t="shared" si="1"/>
        <v>793.36</v>
      </c>
      <c r="J11" s="13">
        <v>40000</v>
      </c>
      <c r="K11" s="33">
        <v>536</v>
      </c>
      <c r="L11" s="7">
        <f t="shared" si="2"/>
        <v>904.7679999999999</v>
      </c>
      <c r="M11" s="13">
        <v>40000</v>
      </c>
      <c r="N11" s="51">
        <v>871</v>
      </c>
      <c r="O11" s="7">
        <f t="shared" si="3"/>
        <v>1470.248</v>
      </c>
      <c r="P11" s="21">
        <v>38000</v>
      </c>
      <c r="Q11" s="2">
        <f>((Q12-Q10)/2)+Q10</f>
        <v>889</v>
      </c>
      <c r="R11" s="7">
        <f t="shared" si="4"/>
        <v>1500.632</v>
      </c>
      <c r="S11" s="20">
        <v>35000</v>
      </c>
      <c r="T11" s="33">
        <v>1121</v>
      </c>
      <c r="U11" s="7">
        <f t="shared" si="5"/>
        <v>1892.248</v>
      </c>
      <c r="V11" s="21">
        <v>30000</v>
      </c>
      <c r="W11" s="33">
        <v>1070</v>
      </c>
      <c r="X11" s="7">
        <f t="shared" si="6"/>
        <v>1806.1599999999999</v>
      </c>
      <c r="Y11" s="13">
        <v>20000</v>
      </c>
      <c r="Z11" s="33">
        <v>974</v>
      </c>
      <c r="AA11" s="7">
        <f t="shared" si="7"/>
        <v>1644.1119999999999</v>
      </c>
      <c r="AB11" s="20">
        <v>5000</v>
      </c>
      <c r="AC11" s="33">
        <v>841</v>
      </c>
      <c r="AD11" s="7">
        <f t="shared" si="8"/>
        <v>1419.608</v>
      </c>
      <c r="AF11" s="13">
        <v>40000</v>
      </c>
      <c r="AG11" s="7">
        <f t="shared" si="9"/>
        <v>256</v>
      </c>
      <c r="AH11" s="7">
        <f t="shared" si="10"/>
        <v>432.128</v>
      </c>
      <c r="AI11" s="13">
        <v>40000</v>
      </c>
      <c r="AJ11" s="8"/>
      <c r="AK11" s="7">
        <f t="shared" si="13"/>
        <v>0</v>
      </c>
      <c r="AL11" s="13">
        <v>40000</v>
      </c>
      <c r="AM11" s="8"/>
      <c r="AN11" s="7">
        <f t="shared" si="14"/>
        <v>0</v>
      </c>
      <c r="AO11" s="13">
        <v>40000</v>
      </c>
      <c r="AP11" s="7"/>
      <c r="AQ11" s="7">
        <f t="shared" si="15"/>
        <v>0</v>
      </c>
      <c r="AR11" s="13">
        <v>40000</v>
      </c>
      <c r="AS11" s="7"/>
      <c r="AT11" s="7">
        <f t="shared" si="16"/>
        <v>0</v>
      </c>
      <c r="AV11" s="13">
        <v>40000</v>
      </c>
      <c r="AW11" s="33">
        <v>266</v>
      </c>
      <c r="AX11" s="7">
        <f t="shared" si="11"/>
        <v>449.008</v>
      </c>
    </row>
    <row r="12" spans="1:50" ht="12.75">
      <c r="A12" s="13">
        <v>45000</v>
      </c>
      <c r="B12" s="33">
        <v>301</v>
      </c>
      <c r="C12" s="7">
        <f t="shared" si="0"/>
        <v>508.08799999999997</v>
      </c>
      <c r="D12" s="13">
        <v>45000</v>
      </c>
      <c r="E12" s="33">
        <v>429</v>
      </c>
      <c r="F12" s="7">
        <f t="shared" si="12"/>
        <v>724.1519999999999</v>
      </c>
      <c r="G12" s="13">
        <v>45000</v>
      </c>
      <c r="H12" s="33">
        <v>527</v>
      </c>
      <c r="I12" s="7">
        <f t="shared" si="1"/>
        <v>889.576</v>
      </c>
      <c r="J12" s="13">
        <v>45000</v>
      </c>
      <c r="K12" s="38">
        <v>932</v>
      </c>
      <c r="L12" s="7">
        <f t="shared" si="2"/>
        <v>1573.216</v>
      </c>
      <c r="M12" s="20">
        <v>42000</v>
      </c>
      <c r="N12" s="2">
        <f>((N13-N11)/2)+N11</f>
        <v>1023</v>
      </c>
      <c r="O12" s="7">
        <f t="shared" si="3"/>
        <v>1726.8239999999998</v>
      </c>
      <c r="P12" s="20">
        <v>35000</v>
      </c>
      <c r="Q12" s="33">
        <v>1121</v>
      </c>
      <c r="R12" s="7">
        <f t="shared" si="4"/>
        <v>1892.248</v>
      </c>
      <c r="S12" s="13">
        <v>30000</v>
      </c>
      <c r="T12" s="33">
        <v>1070</v>
      </c>
      <c r="U12" s="7">
        <f t="shared" si="5"/>
        <v>1806.1599999999999</v>
      </c>
      <c r="V12" s="20">
        <v>25000</v>
      </c>
      <c r="W12" s="33">
        <v>1022</v>
      </c>
      <c r="X12" s="7">
        <f t="shared" si="6"/>
        <v>1725.136</v>
      </c>
      <c r="Y12" s="20">
        <v>15000</v>
      </c>
      <c r="Z12" s="33">
        <v>928</v>
      </c>
      <c r="AA12" s="7">
        <f t="shared" si="7"/>
        <v>1566.464</v>
      </c>
      <c r="AB12" s="100">
        <v>0</v>
      </c>
      <c r="AC12">
        <v>800</v>
      </c>
      <c r="AD12" s="7">
        <f t="shared" si="8"/>
        <v>1350.3999999999999</v>
      </c>
      <c r="AF12" s="13">
        <v>45000</v>
      </c>
      <c r="AG12" s="7">
        <f t="shared" si="9"/>
        <v>291</v>
      </c>
      <c r="AH12" s="7">
        <f t="shared" si="10"/>
        <v>491.20799999999997</v>
      </c>
      <c r="AI12" s="13">
        <v>45000</v>
      </c>
      <c r="AJ12" s="8"/>
      <c r="AK12" s="7">
        <f t="shared" si="13"/>
        <v>0</v>
      </c>
      <c r="AL12" s="13">
        <v>45000</v>
      </c>
      <c r="AM12" s="8"/>
      <c r="AN12" s="7">
        <f t="shared" si="14"/>
        <v>0</v>
      </c>
      <c r="AO12" s="13">
        <v>45000</v>
      </c>
      <c r="AQ12" s="7">
        <f t="shared" si="15"/>
        <v>0</v>
      </c>
      <c r="AR12" s="13">
        <v>45000</v>
      </c>
      <c r="AT12" s="7">
        <f t="shared" si="16"/>
        <v>0</v>
      </c>
      <c r="AV12" s="13">
        <v>45000</v>
      </c>
      <c r="AW12" s="33">
        <v>301</v>
      </c>
      <c r="AX12" s="7">
        <f t="shared" si="11"/>
        <v>508.08799999999997</v>
      </c>
    </row>
    <row r="13" spans="1:50" ht="12.75">
      <c r="A13" s="13">
        <v>50000</v>
      </c>
      <c r="B13" s="33">
        <v>340</v>
      </c>
      <c r="C13" s="7">
        <f t="shared" si="0"/>
        <v>573.92</v>
      </c>
      <c r="D13" s="13">
        <v>50000</v>
      </c>
      <c r="E13" s="33">
        <v>481</v>
      </c>
      <c r="F13" s="7">
        <f t="shared" si="12"/>
        <v>811.928</v>
      </c>
      <c r="G13" s="13">
        <v>50000</v>
      </c>
      <c r="H13" s="33">
        <v>688</v>
      </c>
      <c r="I13" s="7">
        <f t="shared" si="1"/>
        <v>1161.344</v>
      </c>
      <c r="J13" s="20">
        <v>46000</v>
      </c>
      <c r="K13" s="2">
        <f>((K14-K12)/2)+K12</f>
        <v>1053.5</v>
      </c>
      <c r="L13" s="7">
        <f t="shared" si="2"/>
        <v>1778.308</v>
      </c>
      <c r="M13" s="13">
        <v>40000</v>
      </c>
      <c r="N13" s="33">
        <v>1175</v>
      </c>
      <c r="O13" s="7">
        <f t="shared" si="3"/>
        <v>1983.3999999999999</v>
      </c>
      <c r="P13" s="13">
        <v>30000</v>
      </c>
      <c r="Q13" s="33">
        <v>1070</v>
      </c>
      <c r="R13" s="7">
        <f t="shared" si="4"/>
        <v>1806.1599999999999</v>
      </c>
      <c r="S13" s="20">
        <v>25000</v>
      </c>
      <c r="T13" s="33">
        <v>1022</v>
      </c>
      <c r="U13" s="7">
        <f t="shared" si="5"/>
        <v>1725.136</v>
      </c>
      <c r="V13" s="13">
        <v>20000</v>
      </c>
      <c r="W13" s="33">
        <v>974</v>
      </c>
      <c r="X13" s="7">
        <f t="shared" si="6"/>
        <v>1644.1119999999999</v>
      </c>
      <c r="Y13" s="13">
        <v>10000</v>
      </c>
      <c r="Z13" s="33">
        <v>884</v>
      </c>
      <c r="AA13" s="7">
        <f t="shared" si="7"/>
        <v>1492.192</v>
      </c>
      <c r="AF13" s="13">
        <v>50000</v>
      </c>
      <c r="AG13" s="7">
        <f t="shared" si="9"/>
        <v>330</v>
      </c>
      <c r="AH13" s="7">
        <f t="shared" si="10"/>
        <v>557.04</v>
      </c>
      <c r="AI13" s="13">
        <v>50000</v>
      </c>
      <c r="AJ13" s="8"/>
      <c r="AK13" s="7">
        <f t="shared" si="13"/>
        <v>0</v>
      </c>
      <c r="AL13" s="13">
        <v>50000</v>
      </c>
      <c r="AM13" s="8"/>
      <c r="AN13" s="7">
        <f t="shared" si="14"/>
        <v>0</v>
      </c>
      <c r="AO13" s="13">
        <v>50000</v>
      </c>
      <c r="AQ13" s="7">
        <f t="shared" si="15"/>
        <v>0</v>
      </c>
      <c r="AR13" s="20">
        <v>46000</v>
      </c>
      <c r="AS13" s="8"/>
      <c r="AT13" s="7">
        <f t="shared" si="16"/>
        <v>0</v>
      </c>
      <c r="AV13" s="13">
        <v>50000</v>
      </c>
      <c r="AW13" s="33">
        <v>340</v>
      </c>
      <c r="AX13" s="7">
        <f t="shared" si="11"/>
        <v>573.92</v>
      </c>
    </row>
    <row r="14" spans="1:50" ht="12.75">
      <c r="A14" s="13">
        <v>58000</v>
      </c>
      <c r="B14" s="2">
        <f>((B15-B13)/2)+B13</f>
        <v>757.5</v>
      </c>
      <c r="C14" s="7">
        <f t="shared" si="0"/>
        <v>1278.6599999999999</v>
      </c>
      <c r="D14" s="20">
        <v>54000</v>
      </c>
      <c r="E14" s="2">
        <f>((E15-E13)/2)+E13</f>
        <v>828</v>
      </c>
      <c r="F14" s="7">
        <f t="shared" si="12"/>
        <v>1397.664</v>
      </c>
      <c r="G14" s="13">
        <v>50500</v>
      </c>
      <c r="H14" s="2">
        <f>((H15-H13)/2)+H13</f>
        <v>931.5</v>
      </c>
      <c r="I14" s="7">
        <f t="shared" si="1"/>
        <v>1572.3719999999998</v>
      </c>
      <c r="J14" s="20">
        <v>45000</v>
      </c>
      <c r="K14" s="33">
        <v>1175</v>
      </c>
      <c r="L14" s="7">
        <f t="shared" si="2"/>
        <v>1983.3999999999999</v>
      </c>
      <c r="M14" s="20">
        <v>35000</v>
      </c>
      <c r="N14" s="33">
        <v>1121</v>
      </c>
      <c r="O14" s="7">
        <f t="shared" si="3"/>
        <v>1892.248</v>
      </c>
      <c r="P14" s="20">
        <v>25000</v>
      </c>
      <c r="Q14" s="33">
        <v>1022</v>
      </c>
      <c r="R14" s="7">
        <f t="shared" si="4"/>
        <v>1725.136</v>
      </c>
      <c r="S14" s="13">
        <v>20000</v>
      </c>
      <c r="T14" s="33">
        <v>974</v>
      </c>
      <c r="U14" s="7">
        <f t="shared" si="5"/>
        <v>1644.1119999999999</v>
      </c>
      <c r="V14" s="20">
        <v>15000</v>
      </c>
      <c r="W14" s="33">
        <v>928</v>
      </c>
      <c r="X14" s="7">
        <f t="shared" si="6"/>
        <v>1566.464</v>
      </c>
      <c r="Y14" s="20">
        <v>5000</v>
      </c>
      <c r="Z14" s="33">
        <v>841</v>
      </c>
      <c r="AA14" s="7">
        <f t="shared" si="7"/>
        <v>1419.608</v>
      </c>
      <c r="AF14" s="13">
        <v>60000</v>
      </c>
      <c r="AG14" s="7">
        <f>B14+10</f>
        <v>767.5</v>
      </c>
      <c r="AH14" s="7">
        <f t="shared" si="10"/>
        <v>1295.54</v>
      </c>
      <c r="AI14" s="13">
        <v>58000</v>
      </c>
      <c r="AK14" s="7">
        <f t="shared" si="13"/>
        <v>0</v>
      </c>
      <c r="AL14" s="20">
        <v>54000</v>
      </c>
      <c r="AN14" s="7">
        <f t="shared" si="14"/>
        <v>0</v>
      </c>
      <c r="AO14" s="13">
        <v>50000</v>
      </c>
      <c r="AQ14" s="7">
        <f t="shared" si="15"/>
        <v>0</v>
      </c>
      <c r="AR14" s="20">
        <v>45000</v>
      </c>
      <c r="AT14" s="7">
        <f t="shared" si="16"/>
        <v>0</v>
      </c>
      <c r="AV14" s="13">
        <v>58000</v>
      </c>
      <c r="AW14" s="2">
        <f>((AW15-AW13)/2)+AW13</f>
        <v>757.5</v>
      </c>
      <c r="AX14" s="7">
        <f t="shared" si="11"/>
        <v>1278.6599999999999</v>
      </c>
    </row>
    <row r="15" spans="1:50" ht="12.75">
      <c r="A15" s="13">
        <v>50000</v>
      </c>
      <c r="B15" s="33">
        <v>1175</v>
      </c>
      <c r="C15" s="7">
        <f t="shared" si="0"/>
        <v>1983.3999999999999</v>
      </c>
      <c r="D15" s="13">
        <v>50000</v>
      </c>
      <c r="E15" s="33">
        <v>1175</v>
      </c>
      <c r="F15" s="7">
        <f t="shared" si="12"/>
        <v>1983.3999999999999</v>
      </c>
      <c r="G15" s="13">
        <v>50000</v>
      </c>
      <c r="H15" s="33">
        <v>1175</v>
      </c>
      <c r="I15" s="7">
        <f t="shared" si="1"/>
        <v>1983.3999999999999</v>
      </c>
      <c r="J15" s="13">
        <v>40000</v>
      </c>
      <c r="K15" s="33">
        <v>1175</v>
      </c>
      <c r="L15" s="7">
        <f t="shared" si="2"/>
        <v>1983.3999999999999</v>
      </c>
      <c r="M15" s="13">
        <v>30000</v>
      </c>
      <c r="N15" s="33">
        <v>1070</v>
      </c>
      <c r="O15" s="7">
        <f t="shared" si="3"/>
        <v>1806.1599999999999</v>
      </c>
      <c r="P15" s="13">
        <v>20000</v>
      </c>
      <c r="Q15" s="33">
        <v>974</v>
      </c>
      <c r="R15" s="7">
        <f t="shared" si="4"/>
        <v>1644.1119999999999</v>
      </c>
      <c r="S15" s="20">
        <v>15000</v>
      </c>
      <c r="T15" s="33">
        <v>928</v>
      </c>
      <c r="U15" s="7">
        <f t="shared" si="5"/>
        <v>1566.464</v>
      </c>
      <c r="V15" s="13">
        <v>10000</v>
      </c>
      <c r="W15" s="33">
        <v>884</v>
      </c>
      <c r="X15" s="7">
        <f t="shared" si="6"/>
        <v>1492.192</v>
      </c>
      <c r="Y15" s="100">
        <v>0</v>
      </c>
      <c r="Z15">
        <v>800</v>
      </c>
      <c r="AA15" s="7">
        <f t="shared" si="7"/>
        <v>1350.3999999999999</v>
      </c>
      <c r="AF15" s="13">
        <v>50000</v>
      </c>
      <c r="AG15" s="7">
        <f aca="true" t="shared" si="17" ref="AG15:AG25">B15+10</f>
        <v>1185</v>
      </c>
      <c r="AH15" s="7">
        <f t="shared" si="10"/>
        <v>2000.28</v>
      </c>
      <c r="AI15" s="13">
        <v>50000</v>
      </c>
      <c r="AJ15" s="8"/>
      <c r="AK15" s="7">
        <f t="shared" si="13"/>
        <v>0</v>
      </c>
      <c r="AL15" s="13">
        <v>50000</v>
      </c>
      <c r="AM15" s="8"/>
      <c r="AN15" s="7">
        <f t="shared" si="14"/>
        <v>0</v>
      </c>
      <c r="AO15" s="20">
        <v>45000</v>
      </c>
      <c r="AQ15" s="7">
        <f t="shared" si="15"/>
        <v>0</v>
      </c>
      <c r="AR15" s="13">
        <v>40000</v>
      </c>
      <c r="AT15" s="7">
        <f t="shared" si="16"/>
        <v>0</v>
      </c>
      <c r="AV15" s="13">
        <v>50000</v>
      </c>
      <c r="AW15" s="33">
        <v>1175</v>
      </c>
      <c r="AX15" s="7">
        <f t="shared" si="11"/>
        <v>1983.3999999999999</v>
      </c>
    </row>
    <row r="16" spans="1:50" ht="12.75">
      <c r="A16" s="20">
        <v>45000</v>
      </c>
      <c r="B16" s="33">
        <v>1185</v>
      </c>
      <c r="C16" s="7">
        <f t="shared" si="0"/>
        <v>2000.28</v>
      </c>
      <c r="D16" s="20">
        <v>45000</v>
      </c>
      <c r="E16" s="33">
        <v>1175</v>
      </c>
      <c r="F16" s="7">
        <f t="shared" si="12"/>
        <v>1983.3999999999999</v>
      </c>
      <c r="G16" s="20">
        <v>45000</v>
      </c>
      <c r="H16" s="33">
        <v>1175</v>
      </c>
      <c r="I16" s="7">
        <f t="shared" si="1"/>
        <v>1983.3999999999999</v>
      </c>
      <c r="J16" s="20">
        <v>35000</v>
      </c>
      <c r="K16" s="33">
        <v>1121</v>
      </c>
      <c r="L16" s="7">
        <f t="shared" si="2"/>
        <v>1892.248</v>
      </c>
      <c r="M16" s="20">
        <v>25000</v>
      </c>
      <c r="N16" s="33">
        <v>1022</v>
      </c>
      <c r="O16" s="7">
        <f t="shared" si="3"/>
        <v>1725.136</v>
      </c>
      <c r="P16" s="20">
        <v>15000</v>
      </c>
      <c r="Q16" s="33">
        <v>928</v>
      </c>
      <c r="R16" s="7">
        <f t="shared" si="4"/>
        <v>1566.464</v>
      </c>
      <c r="S16" s="13">
        <v>10000</v>
      </c>
      <c r="T16" s="33">
        <v>884</v>
      </c>
      <c r="U16" s="7">
        <f t="shared" si="5"/>
        <v>1492.192</v>
      </c>
      <c r="V16" s="20">
        <v>5000</v>
      </c>
      <c r="W16" s="33">
        <v>841</v>
      </c>
      <c r="X16" s="7">
        <f t="shared" si="6"/>
        <v>1419.608</v>
      </c>
      <c r="AF16" s="20">
        <v>45000</v>
      </c>
      <c r="AG16" s="7">
        <f t="shared" si="17"/>
        <v>1195</v>
      </c>
      <c r="AH16" s="7">
        <f t="shared" si="10"/>
        <v>2017.1599999999999</v>
      </c>
      <c r="AI16" s="20">
        <v>45000</v>
      </c>
      <c r="AK16" s="7">
        <f t="shared" si="13"/>
        <v>0</v>
      </c>
      <c r="AL16" s="20">
        <v>45000</v>
      </c>
      <c r="AN16" s="7">
        <f t="shared" si="14"/>
        <v>0</v>
      </c>
      <c r="AO16" s="13">
        <v>40000</v>
      </c>
      <c r="AQ16" s="7">
        <f t="shared" si="15"/>
        <v>0</v>
      </c>
      <c r="AR16" s="20">
        <v>35000</v>
      </c>
      <c r="AT16" s="7">
        <f t="shared" si="16"/>
        <v>0</v>
      </c>
      <c r="AV16" s="20">
        <v>45000</v>
      </c>
      <c r="AW16" s="33">
        <v>1175</v>
      </c>
      <c r="AX16" s="7">
        <f t="shared" si="11"/>
        <v>1983.3999999999999</v>
      </c>
    </row>
    <row r="17" spans="1:50" ht="12.75">
      <c r="A17" s="13">
        <v>40000</v>
      </c>
      <c r="B17" s="33">
        <v>1185</v>
      </c>
      <c r="C17" s="7">
        <f t="shared" si="0"/>
        <v>2000.28</v>
      </c>
      <c r="D17" s="13">
        <v>40000</v>
      </c>
      <c r="E17" s="33">
        <v>1175</v>
      </c>
      <c r="F17" s="7">
        <f t="shared" si="12"/>
        <v>1983.3999999999999</v>
      </c>
      <c r="G17" s="13">
        <v>40000</v>
      </c>
      <c r="H17" s="33">
        <v>1175</v>
      </c>
      <c r="I17" s="7">
        <f t="shared" si="1"/>
        <v>1983.3999999999999</v>
      </c>
      <c r="J17" s="13">
        <v>30000</v>
      </c>
      <c r="K17" s="33">
        <v>1070</v>
      </c>
      <c r="L17" s="7">
        <f t="shared" si="2"/>
        <v>1806.1599999999999</v>
      </c>
      <c r="M17" s="13">
        <v>20000</v>
      </c>
      <c r="N17" s="33">
        <v>974</v>
      </c>
      <c r="O17" s="7">
        <f t="shared" si="3"/>
        <v>1644.1119999999999</v>
      </c>
      <c r="P17" s="13">
        <v>10000</v>
      </c>
      <c r="Q17" s="33">
        <v>884</v>
      </c>
      <c r="R17" s="7">
        <f t="shared" si="4"/>
        <v>1492.192</v>
      </c>
      <c r="S17" s="20">
        <v>5000</v>
      </c>
      <c r="T17" s="33">
        <v>841</v>
      </c>
      <c r="U17" s="7">
        <f t="shared" si="5"/>
        <v>1419.608</v>
      </c>
      <c r="V17" s="100">
        <v>0</v>
      </c>
      <c r="W17">
        <v>800</v>
      </c>
      <c r="X17" s="7">
        <f t="shared" si="6"/>
        <v>1350.3999999999999</v>
      </c>
      <c r="AF17" s="13">
        <v>40000</v>
      </c>
      <c r="AG17" s="7">
        <f t="shared" si="17"/>
        <v>1195</v>
      </c>
      <c r="AH17" s="7">
        <f t="shared" si="10"/>
        <v>2017.1599999999999</v>
      </c>
      <c r="AI17" s="13">
        <v>40000</v>
      </c>
      <c r="AK17" s="7">
        <f t="shared" si="13"/>
        <v>0</v>
      </c>
      <c r="AL17" s="13">
        <v>40000</v>
      </c>
      <c r="AN17" s="7">
        <f t="shared" si="14"/>
        <v>0</v>
      </c>
      <c r="AO17" s="20">
        <v>35000</v>
      </c>
      <c r="AQ17" s="7">
        <f t="shared" si="15"/>
        <v>0</v>
      </c>
      <c r="AR17" s="13">
        <v>30000</v>
      </c>
      <c r="AT17" s="7">
        <f t="shared" si="16"/>
        <v>0</v>
      </c>
      <c r="AV17" s="13">
        <v>40000</v>
      </c>
      <c r="AW17" s="33">
        <v>1175</v>
      </c>
      <c r="AX17" s="7">
        <f t="shared" si="11"/>
        <v>1983.3999999999999</v>
      </c>
    </row>
    <row r="18" spans="1:50" ht="12.75">
      <c r="A18" s="20">
        <v>35000</v>
      </c>
      <c r="B18" s="33">
        <v>1131</v>
      </c>
      <c r="C18" s="7">
        <f t="shared" si="0"/>
        <v>1909.128</v>
      </c>
      <c r="D18" s="20">
        <v>35000</v>
      </c>
      <c r="E18" s="33">
        <v>1121</v>
      </c>
      <c r="F18" s="7">
        <f t="shared" si="12"/>
        <v>1892.248</v>
      </c>
      <c r="G18" s="20">
        <v>35000</v>
      </c>
      <c r="H18" s="33">
        <v>1121</v>
      </c>
      <c r="I18" s="7">
        <f t="shared" si="1"/>
        <v>1892.248</v>
      </c>
      <c r="J18" s="20">
        <v>25000</v>
      </c>
      <c r="K18" s="33">
        <v>1022</v>
      </c>
      <c r="L18" s="7">
        <f t="shared" si="2"/>
        <v>1725.136</v>
      </c>
      <c r="M18" s="20">
        <v>15000</v>
      </c>
      <c r="N18" s="33">
        <v>928</v>
      </c>
      <c r="O18" s="7">
        <f t="shared" si="3"/>
        <v>1566.464</v>
      </c>
      <c r="P18" s="20">
        <v>5000</v>
      </c>
      <c r="Q18" s="33">
        <v>841</v>
      </c>
      <c r="R18" s="7">
        <f t="shared" si="4"/>
        <v>1419.608</v>
      </c>
      <c r="S18" s="100">
        <v>0</v>
      </c>
      <c r="T18">
        <v>800</v>
      </c>
      <c r="U18" s="7">
        <f t="shared" si="5"/>
        <v>1350.3999999999999</v>
      </c>
      <c r="AF18" s="20">
        <v>35000</v>
      </c>
      <c r="AG18" s="7">
        <f t="shared" si="17"/>
        <v>1141</v>
      </c>
      <c r="AH18" s="7">
        <f t="shared" si="10"/>
        <v>1926.008</v>
      </c>
      <c r="AI18" s="20">
        <v>35000</v>
      </c>
      <c r="AK18" s="7">
        <f t="shared" si="13"/>
        <v>0</v>
      </c>
      <c r="AL18" s="20">
        <v>35000</v>
      </c>
      <c r="AN18" s="7">
        <f t="shared" si="14"/>
        <v>0</v>
      </c>
      <c r="AO18" s="13">
        <v>30000</v>
      </c>
      <c r="AQ18" s="7">
        <f t="shared" si="15"/>
        <v>0</v>
      </c>
      <c r="AR18" s="20">
        <v>25000</v>
      </c>
      <c r="AT18" s="7">
        <f t="shared" si="16"/>
        <v>0</v>
      </c>
      <c r="AV18" s="20">
        <v>35000</v>
      </c>
      <c r="AW18" s="33">
        <v>1121</v>
      </c>
      <c r="AX18" s="7">
        <f t="shared" si="11"/>
        <v>1892.248</v>
      </c>
    </row>
    <row r="19" spans="1:50" ht="12.75">
      <c r="A19" s="13">
        <v>30000</v>
      </c>
      <c r="B19" s="33">
        <v>1080</v>
      </c>
      <c r="C19" s="7">
        <f t="shared" si="0"/>
        <v>1823.04</v>
      </c>
      <c r="D19" s="13">
        <v>30000</v>
      </c>
      <c r="E19" s="33">
        <v>1070</v>
      </c>
      <c r="F19" s="7">
        <f t="shared" si="12"/>
        <v>1806.1599999999999</v>
      </c>
      <c r="G19" s="13">
        <v>30000</v>
      </c>
      <c r="H19" s="33">
        <v>1070</v>
      </c>
      <c r="I19" s="7">
        <f t="shared" si="1"/>
        <v>1806.1599999999999</v>
      </c>
      <c r="J19" s="13">
        <v>20000</v>
      </c>
      <c r="K19" s="33">
        <v>974</v>
      </c>
      <c r="L19" s="7">
        <f t="shared" si="2"/>
        <v>1644.1119999999999</v>
      </c>
      <c r="M19" s="13">
        <v>10000</v>
      </c>
      <c r="N19" s="33">
        <v>884</v>
      </c>
      <c r="O19" s="7">
        <f t="shared" si="3"/>
        <v>1492.192</v>
      </c>
      <c r="P19" s="100">
        <v>0</v>
      </c>
      <c r="Q19">
        <v>800</v>
      </c>
      <c r="R19" s="7">
        <f t="shared" si="4"/>
        <v>1350.3999999999999</v>
      </c>
      <c r="AF19" s="13">
        <v>30000</v>
      </c>
      <c r="AG19" s="7">
        <f t="shared" si="17"/>
        <v>1090</v>
      </c>
      <c r="AH19" s="7">
        <f t="shared" si="10"/>
        <v>1839.9199999999998</v>
      </c>
      <c r="AI19" s="13">
        <v>30000</v>
      </c>
      <c r="AK19" s="7">
        <f t="shared" si="13"/>
        <v>0</v>
      </c>
      <c r="AL19" s="13">
        <v>30000</v>
      </c>
      <c r="AN19" s="7">
        <f t="shared" si="14"/>
        <v>0</v>
      </c>
      <c r="AO19" s="20">
        <v>25000</v>
      </c>
      <c r="AQ19" s="7">
        <f t="shared" si="15"/>
        <v>0</v>
      </c>
      <c r="AR19" s="13">
        <v>20000</v>
      </c>
      <c r="AT19" s="7">
        <f t="shared" si="16"/>
        <v>0</v>
      </c>
      <c r="AV19" s="13">
        <v>30000</v>
      </c>
      <c r="AW19" s="33">
        <v>1070</v>
      </c>
      <c r="AX19" s="7">
        <f t="shared" si="11"/>
        <v>1806.1599999999999</v>
      </c>
    </row>
    <row r="20" spans="1:50" ht="12.75">
      <c r="A20" s="20">
        <v>25000</v>
      </c>
      <c r="B20" s="33">
        <v>1032</v>
      </c>
      <c r="C20" s="7">
        <f t="shared" si="0"/>
        <v>1742.0159999999998</v>
      </c>
      <c r="D20" s="20">
        <v>25000</v>
      </c>
      <c r="E20" s="33">
        <v>1022</v>
      </c>
      <c r="F20" s="7">
        <f t="shared" si="12"/>
        <v>1725.136</v>
      </c>
      <c r="G20" s="20">
        <v>25000</v>
      </c>
      <c r="H20" s="33">
        <v>1022</v>
      </c>
      <c r="I20" s="7">
        <f t="shared" si="1"/>
        <v>1725.136</v>
      </c>
      <c r="J20" s="20">
        <v>15000</v>
      </c>
      <c r="K20" s="33">
        <v>928</v>
      </c>
      <c r="L20" s="7">
        <f t="shared" si="2"/>
        <v>1566.464</v>
      </c>
      <c r="M20" s="20">
        <v>5000</v>
      </c>
      <c r="N20" s="33">
        <v>841</v>
      </c>
      <c r="O20" s="7">
        <f t="shared" si="3"/>
        <v>1419.608</v>
      </c>
      <c r="V20" s="8"/>
      <c r="AF20" s="20">
        <v>25000</v>
      </c>
      <c r="AG20" s="7">
        <f t="shared" si="17"/>
        <v>1042</v>
      </c>
      <c r="AH20" s="7">
        <f t="shared" si="10"/>
        <v>1758.896</v>
      </c>
      <c r="AI20" s="20">
        <v>25000</v>
      </c>
      <c r="AK20" s="7">
        <f t="shared" si="13"/>
        <v>0</v>
      </c>
      <c r="AL20" s="20">
        <v>25000</v>
      </c>
      <c r="AN20" s="7">
        <f t="shared" si="14"/>
        <v>0</v>
      </c>
      <c r="AO20" s="13">
        <v>20000</v>
      </c>
      <c r="AQ20" s="7">
        <f t="shared" si="15"/>
        <v>0</v>
      </c>
      <c r="AR20" s="20">
        <v>15000</v>
      </c>
      <c r="AT20" s="7">
        <f t="shared" si="16"/>
        <v>0</v>
      </c>
      <c r="AV20" s="20">
        <v>25000</v>
      </c>
      <c r="AW20" s="33">
        <v>1022</v>
      </c>
      <c r="AX20" s="7">
        <f t="shared" si="11"/>
        <v>1725.136</v>
      </c>
    </row>
    <row r="21" spans="1:50" ht="12.75">
      <c r="A21" s="13">
        <v>20000</v>
      </c>
      <c r="B21" s="33">
        <v>984</v>
      </c>
      <c r="C21" s="7">
        <f t="shared" si="0"/>
        <v>1660.992</v>
      </c>
      <c r="D21" s="13">
        <v>20000</v>
      </c>
      <c r="E21" s="33">
        <v>974</v>
      </c>
      <c r="F21" s="7">
        <f t="shared" si="12"/>
        <v>1644.1119999999999</v>
      </c>
      <c r="G21" s="13">
        <v>20000</v>
      </c>
      <c r="H21" s="33">
        <v>974</v>
      </c>
      <c r="I21" s="7">
        <f t="shared" si="1"/>
        <v>1644.1119999999999</v>
      </c>
      <c r="J21" s="13">
        <v>10000</v>
      </c>
      <c r="K21" s="33">
        <v>884</v>
      </c>
      <c r="L21" s="7">
        <f t="shared" si="2"/>
        <v>1492.192</v>
      </c>
      <c r="M21" s="100">
        <v>0</v>
      </c>
      <c r="N21">
        <v>800</v>
      </c>
      <c r="O21" s="7">
        <f t="shared" si="3"/>
        <v>1350.3999999999999</v>
      </c>
      <c r="U21" s="8"/>
      <c r="V21" s="22"/>
      <c r="W21" s="22"/>
      <c r="X21" s="8"/>
      <c r="AF21" s="13">
        <v>20000</v>
      </c>
      <c r="AG21" s="7">
        <f t="shared" si="17"/>
        <v>994</v>
      </c>
      <c r="AH21" s="7">
        <f t="shared" si="10"/>
        <v>1677.8719999999998</v>
      </c>
      <c r="AI21" s="13">
        <v>20000</v>
      </c>
      <c r="AK21" s="7">
        <f t="shared" si="13"/>
        <v>0</v>
      </c>
      <c r="AL21" s="13">
        <v>20000</v>
      </c>
      <c r="AN21" s="7">
        <f t="shared" si="14"/>
        <v>0</v>
      </c>
      <c r="AO21" s="20">
        <v>15000</v>
      </c>
      <c r="AQ21" s="7">
        <f t="shared" si="15"/>
        <v>0</v>
      </c>
      <c r="AR21" s="13">
        <v>10000</v>
      </c>
      <c r="AT21" s="7">
        <f t="shared" si="16"/>
        <v>0</v>
      </c>
      <c r="AV21" s="13">
        <v>20000</v>
      </c>
      <c r="AW21" s="33">
        <v>974</v>
      </c>
      <c r="AX21" s="7">
        <f t="shared" si="11"/>
        <v>1644.1119999999999</v>
      </c>
    </row>
    <row r="22" spans="1:50" ht="12.75">
      <c r="A22" s="20">
        <v>15000</v>
      </c>
      <c r="B22" s="33">
        <v>938</v>
      </c>
      <c r="C22" s="7">
        <f t="shared" si="0"/>
        <v>1583.344</v>
      </c>
      <c r="D22" s="20">
        <v>15000</v>
      </c>
      <c r="E22" s="33">
        <v>928</v>
      </c>
      <c r="F22" s="7">
        <f t="shared" si="12"/>
        <v>1566.464</v>
      </c>
      <c r="G22" s="20">
        <v>15000</v>
      </c>
      <c r="H22" s="33">
        <v>928</v>
      </c>
      <c r="I22" s="7">
        <f t="shared" si="1"/>
        <v>1566.464</v>
      </c>
      <c r="J22" s="20">
        <v>5000</v>
      </c>
      <c r="K22" s="33">
        <v>841</v>
      </c>
      <c r="L22" s="7">
        <f t="shared" si="2"/>
        <v>1419.608</v>
      </c>
      <c r="R22" s="11"/>
      <c r="U22" s="8"/>
      <c r="V22" s="8"/>
      <c r="W22" s="8"/>
      <c r="X22" s="22"/>
      <c r="AF22" s="20">
        <v>15000</v>
      </c>
      <c r="AG22" s="7">
        <f t="shared" si="17"/>
        <v>948</v>
      </c>
      <c r="AH22" s="7">
        <f t="shared" si="10"/>
        <v>1600.224</v>
      </c>
      <c r="AI22" s="20">
        <v>15000</v>
      </c>
      <c r="AK22" s="7">
        <f t="shared" si="13"/>
        <v>0</v>
      </c>
      <c r="AL22" s="20">
        <v>15000</v>
      </c>
      <c r="AN22" s="7">
        <f t="shared" si="14"/>
        <v>0</v>
      </c>
      <c r="AO22" s="13">
        <v>10000</v>
      </c>
      <c r="AQ22" s="7">
        <f t="shared" si="15"/>
        <v>0</v>
      </c>
      <c r="AR22" s="20">
        <v>5000</v>
      </c>
      <c r="AT22" s="7">
        <f t="shared" si="16"/>
        <v>0</v>
      </c>
      <c r="AV22" s="20">
        <v>15000</v>
      </c>
      <c r="AW22" s="33">
        <v>928</v>
      </c>
      <c r="AX22" s="7">
        <f t="shared" si="11"/>
        <v>1566.464</v>
      </c>
    </row>
    <row r="23" spans="1:50" ht="12.75">
      <c r="A23" s="13">
        <v>10000</v>
      </c>
      <c r="B23" s="33">
        <v>894</v>
      </c>
      <c r="C23" s="7">
        <f t="shared" si="0"/>
        <v>1509.072</v>
      </c>
      <c r="D23" s="13">
        <v>10000</v>
      </c>
      <c r="E23" s="33">
        <v>884</v>
      </c>
      <c r="F23" s="7">
        <f t="shared" si="12"/>
        <v>1492.192</v>
      </c>
      <c r="G23" s="13">
        <v>10000</v>
      </c>
      <c r="H23" s="33">
        <v>884</v>
      </c>
      <c r="I23" s="7">
        <f t="shared" si="1"/>
        <v>1492.192</v>
      </c>
      <c r="J23" s="100">
        <v>0</v>
      </c>
      <c r="K23">
        <v>800</v>
      </c>
      <c r="L23" s="7">
        <f t="shared" si="2"/>
        <v>1350.3999999999999</v>
      </c>
      <c r="O23" s="105" t="s">
        <v>139</v>
      </c>
      <c r="S23" s="55"/>
      <c r="U23" s="8"/>
      <c r="V23" s="7"/>
      <c r="W23" s="7"/>
      <c r="X23" s="8"/>
      <c r="AF23" s="13">
        <v>10000</v>
      </c>
      <c r="AG23" s="7">
        <f t="shared" si="17"/>
        <v>904</v>
      </c>
      <c r="AH23" s="7">
        <f t="shared" si="10"/>
        <v>1525.952</v>
      </c>
      <c r="AI23" s="13">
        <v>10000</v>
      </c>
      <c r="AK23" s="7">
        <f t="shared" si="13"/>
        <v>0</v>
      </c>
      <c r="AL23" s="13">
        <v>10000</v>
      </c>
      <c r="AN23" s="7">
        <f t="shared" si="14"/>
        <v>0</v>
      </c>
      <c r="AO23" s="20">
        <v>5000</v>
      </c>
      <c r="AQ23" s="7">
        <f t="shared" si="15"/>
        <v>0</v>
      </c>
      <c r="AR23" s="100">
        <v>0</v>
      </c>
      <c r="AT23" s="7">
        <f t="shared" si="16"/>
        <v>0</v>
      </c>
      <c r="AV23" s="13">
        <v>10000</v>
      </c>
      <c r="AW23" s="33">
        <v>884</v>
      </c>
      <c r="AX23" s="7">
        <f t="shared" si="11"/>
        <v>1492.192</v>
      </c>
    </row>
    <row r="24" spans="1:50" ht="12.75">
      <c r="A24" s="20">
        <v>5000</v>
      </c>
      <c r="B24" s="33">
        <v>851</v>
      </c>
      <c r="C24" s="7">
        <f t="shared" si="0"/>
        <v>1436.488</v>
      </c>
      <c r="D24" s="20">
        <v>5000</v>
      </c>
      <c r="E24" s="33">
        <v>841</v>
      </c>
      <c r="F24" s="7">
        <f t="shared" si="12"/>
        <v>1419.608</v>
      </c>
      <c r="G24" s="20">
        <v>5000</v>
      </c>
      <c r="H24" s="33">
        <v>841</v>
      </c>
      <c r="I24" s="7">
        <f t="shared" si="1"/>
        <v>1419.608</v>
      </c>
      <c r="J24" s="25"/>
      <c r="K24" s="95"/>
      <c r="L24" s="27"/>
      <c r="M24" s="8"/>
      <c r="N24" s="22"/>
      <c r="O24" s="22"/>
      <c r="R24" s="27"/>
      <c r="S24" s="55"/>
      <c r="U24" s="8"/>
      <c r="V24" s="7"/>
      <c r="W24" s="7"/>
      <c r="X24" s="7"/>
      <c r="AF24" s="20">
        <v>5000</v>
      </c>
      <c r="AG24" s="7">
        <f t="shared" si="17"/>
        <v>861</v>
      </c>
      <c r="AH24" s="7">
        <f t="shared" si="10"/>
        <v>1453.368</v>
      </c>
      <c r="AI24" s="20">
        <v>5000</v>
      </c>
      <c r="AK24" s="7">
        <f t="shared" si="13"/>
        <v>0</v>
      </c>
      <c r="AL24" s="20">
        <v>5000</v>
      </c>
      <c r="AN24" s="7">
        <f t="shared" si="14"/>
        <v>0</v>
      </c>
      <c r="AO24" s="100">
        <v>0</v>
      </c>
      <c r="AQ24" s="7">
        <f t="shared" si="15"/>
        <v>0</v>
      </c>
      <c r="AV24" s="20">
        <v>5000</v>
      </c>
      <c r="AW24" s="33">
        <v>841</v>
      </c>
      <c r="AX24" s="7">
        <f t="shared" si="11"/>
        <v>1419.608</v>
      </c>
    </row>
    <row r="25" spans="1:50" ht="12.75">
      <c r="A25" s="100">
        <v>0</v>
      </c>
      <c r="B25">
        <v>810</v>
      </c>
      <c r="C25" s="7">
        <f t="shared" si="0"/>
        <v>1367.28</v>
      </c>
      <c r="D25" s="100">
        <v>0</v>
      </c>
      <c r="E25">
        <v>800</v>
      </c>
      <c r="F25" s="7">
        <f t="shared" si="12"/>
        <v>1350.3999999999999</v>
      </c>
      <c r="G25" s="100">
        <v>0</v>
      </c>
      <c r="H25">
        <v>800</v>
      </c>
      <c r="I25" s="7">
        <f t="shared" si="1"/>
        <v>1350.3999999999999</v>
      </c>
      <c r="J25" s="25"/>
      <c r="AF25" s="100">
        <v>0</v>
      </c>
      <c r="AG25" s="7">
        <f t="shared" si="17"/>
        <v>820</v>
      </c>
      <c r="AH25" s="7">
        <f t="shared" si="10"/>
        <v>1384.1599999999999</v>
      </c>
      <c r="AI25" s="100">
        <v>0</v>
      </c>
      <c r="AK25" s="7">
        <f t="shared" si="13"/>
        <v>0</v>
      </c>
      <c r="AL25" s="100">
        <v>0</v>
      </c>
      <c r="AN25" s="7">
        <f t="shared" si="14"/>
        <v>0</v>
      </c>
      <c r="AV25" s="100">
        <v>0</v>
      </c>
      <c r="AW25">
        <v>800</v>
      </c>
      <c r="AX25" s="7">
        <f t="shared" si="11"/>
        <v>1350.3999999999999</v>
      </c>
    </row>
    <row r="26" ht="12.75">
      <c r="J26" s="25"/>
    </row>
    <row r="27" spans="1:32" ht="12.75">
      <c r="A27" t="s">
        <v>141</v>
      </c>
      <c r="J27" s="25"/>
      <c r="AF27" t="s">
        <v>203</v>
      </c>
    </row>
    <row r="28" spans="10:32" ht="12.75">
      <c r="J28" s="25"/>
      <c r="AF28" t="s">
        <v>204</v>
      </c>
    </row>
    <row r="29" spans="1:32" ht="12.75">
      <c r="A29" t="s">
        <v>239</v>
      </c>
      <c r="J29" s="25"/>
      <c r="K29" s="16" t="s">
        <v>794</v>
      </c>
      <c r="L29" s="27"/>
      <c r="M29" s="8"/>
      <c r="N29" s="8"/>
      <c r="O29" s="8"/>
      <c r="R29" s="27"/>
      <c r="U29" s="8"/>
      <c r="V29" s="7"/>
      <c r="W29" s="7"/>
      <c r="X29" s="8"/>
      <c r="AF29" t="s">
        <v>205</v>
      </c>
    </row>
    <row r="30" spans="10:24" ht="12.75">
      <c r="J30" s="25"/>
      <c r="U30" s="8"/>
      <c r="V30" s="7"/>
      <c r="W30" s="7"/>
      <c r="X30" s="8"/>
    </row>
    <row r="31" spans="1:24" ht="12.75">
      <c r="A31" s="33" t="s">
        <v>781</v>
      </c>
      <c r="J31" s="25"/>
      <c r="K31" t="s">
        <v>120</v>
      </c>
      <c r="U31" s="8"/>
      <c r="V31" s="7"/>
      <c r="W31" s="7"/>
      <c r="X31" s="8"/>
    </row>
    <row r="32" spans="1:24" ht="12.75">
      <c r="A32" s="35"/>
      <c r="K32" t="s">
        <v>122</v>
      </c>
      <c r="U32" s="8"/>
      <c r="V32" s="7"/>
      <c r="W32" s="7"/>
      <c r="X32" s="8"/>
    </row>
    <row r="33" spans="1:24" ht="12.75">
      <c r="A33" t="s">
        <v>715</v>
      </c>
      <c r="U33" s="8"/>
      <c r="V33" s="7"/>
      <c r="W33" s="7"/>
      <c r="X33" s="8"/>
    </row>
    <row r="34" spans="10:24" ht="12.75">
      <c r="J34" s="25"/>
      <c r="K34" t="s">
        <v>242</v>
      </c>
      <c r="U34" s="8"/>
      <c r="V34" s="7"/>
      <c r="W34" s="7"/>
      <c r="X34" s="8"/>
    </row>
    <row r="35" spans="10:24" ht="12.75">
      <c r="J35" s="25"/>
      <c r="K35" t="s">
        <v>241</v>
      </c>
      <c r="U35" s="8"/>
      <c r="V35" s="7"/>
      <c r="W35" s="7"/>
      <c r="X35" s="8"/>
    </row>
    <row r="36" spans="9:24" ht="12.75">
      <c r="I36" s="1" t="s">
        <v>699</v>
      </c>
      <c r="J36" s="25"/>
      <c r="X36" s="8"/>
    </row>
    <row r="37" spans="11:24" ht="12.75">
      <c r="K37" s="23"/>
      <c r="L37" s="23" t="s">
        <v>117</v>
      </c>
      <c r="O37" s="23" t="s">
        <v>243</v>
      </c>
      <c r="P37" s="23" t="s">
        <v>244</v>
      </c>
      <c r="X37" s="8"/>
    </row>
    <row r="38" spans="10:24" ht="12.75">
      <c r="J38" s="25"/>
      <c r="K38" s="11" t="s">
        <v>193</v>
      </c>
      <c r="L38" s="11" t="s">
        <v>193</v>
      </c>
      <c r="M38" s="11" t="s">
        <v>194</v>
      </c>
      <c r="N38" s="11" t="s">
        <v>194</v>
      </c>
      <c r="O38" s="11" t="s">
        <v>194</v>
      </c>
      <c r="P38" s="11" t="s">
        <v>194</v>
      </c>
      <c r="Q38" s="11" t="s">
        <v>198</v>
      </c>
      <c r="R38" s="27"/>
      <c r="S38" s="55"/>
      <c r="V38" s="25" t="s">
        <v>119</v>
      </c>
      <c r="W38" s="25" t="s">
        <v>245</v>
      </c>
      <c r="X38" s="25"/>
    </row>
    <row r="39" spans="10:24" ht="12.75">
      <c r="J39" s="25"/>
      <c r="K39" s="40" t="s">
        <v>121</v>
      </c>
      <c r="L39" s="40" t="s">
        <v>195</v>
      </c>
      <c r="M39" s="40" t="s">
        <v>199</v>
      </c>
      <c r="N39" s="40" t="s">
        <v>200</v>
      </c>
      <c r="O39" s="40" t="s">
        <v>201</v>
      </c>
      <c r="P39" s="40" t="s">
        <v>202</v>
      </c>
      <c r="Q39" s="40" t="s">
        <v>197</v>
      </c>
      <c r="V39" s="92" t="s">
        <v>126</v>
      </c>
      <c r="W39" s="25" t="s">
        <v>127</v>
      </c>
      <c r="X39" s="25"/>
    </row>
    <row r="40" spans="10:24" ht="12.75">
      <c r="J40" s="25"/>
      <c r="K40" s="91"/>
      <c r="L40" s="23"/>
      <c r="M40" s="23"/>
      <c r="N40" s="23"/>
      <c r="O40" s="23"/>
      <c r="P40" s="25"/>
      <c r="Q40" s="23"/>
      <c r="V40" s="25"/>
      <c r="W40" s="25" t="s">
        <v>128</v>
      </c>
      <c r="X40" s="25"/>
    </row>
    <row r="41" spans="10:24" ht="12.75">
      <c r="J41" s="25"/>
      <c r="K41" s="39" t="s">
        <v>137</v>
      </c>
      <c r="L41" s="39" t="s">
        <v>136</v>
      </c>
      <c r="M41" s="39"/>
      <c r="N41" s="39"/>
      <c r="O41" s="27"/>
      <c r="P41" s="69"/>
      <c r="Q41" s="27"/>
      <c r="R41" s="34" t="s">
        <v>732</v>
      </c>
      <c r="V41" s="25"/>
      <c r="W41" s="25" t="s">
        <v>129</v>
      </c>
      <c r="X41" s="25"/>
    </row>
    <row r="42" spans="11:24" ht="12.75">
      <c r="K42" s="39" t="s">
        <v>131</v>
      </c>
      <c r="L42" s="39" t="s">
        <v>130</v>
      </c>
      <c r="M42" s="39"/>
      <c r="N42" s="39"/>
      <c r="O42" s="27" t="s">
        <v>132</v>
      </c>
      <c r="P42" s="27" t="s">
        <v>132</v>
      </c>
      <c r="Q42" s="27"/>
      <c r="R42" s="34" t="s">
        <v>805</v>
      </c>
      <c r="S42" s="80" t="s">
        <v>135</v>
      </c>
      <c r="V42" s="8"/>
      <c r="W42" s="8"/>
      <c r="X42" s="7"/>
    </row>
    <row r="43" spans="10:18" ht="12.75">
      <c r="J43" s="25"/>
      <c r="K43" s="103" t="s">
        <v>123</v>
      </c>
      <c r="L43" s="103" t="s">
        <v>125</v>
      </c>
      <c r="M43" s="39"/>
      <c r="N43" s="39"/>
      <c r="O43" s="27" t="s">
        <v>783</v>
      </c>
      <c r="P43" s="27" t="s">
        <v>783</v>
      </c>
      <c r="Q43" s="27"/>
      <c r="R43" t="s">
        <v>861</v>
      </c>
    </row>
    <row r="44" spans="10:18" ht="12.75">
      <c r="J44" s="25"/>
      <c r="K44" s="69" t="s">
        <v>265</v>
      </c>
      <c r="L44" s="69" t="s">
        <v>265</v>
      </c>
      <c r="M44" s="39"/>
      <c r="N44" s="39"/>
      <c r="O44" s="27" t="s">
        <v>256</v>
      </c>
      <c r="P44" s="27" t="s">
        <v>256</v>
      </c>
      <c r="Q44" s="40"/>
      <c r="R44" s="34" t="s">
        <v>787</v>
      </c>
    </row>
    <row r="45" spans="10:24" ht="12.75">
      <c r="J45" s="25"/>
      <c r="K45" s="91" t="s">
        <v>124</v>
      </c>
      <c r="L45" s="23" t="s">
        <v>112</v>
      </c>
      <c r="M45" s="23"/>
      <c r="N45" s="23"/>
      <c r="O45" s="23" t="s">
        <v>255</v>
      </c>
      <c r="P45" s="23" t="s">
        <v>255</v>
      </c>
      <c r="Q45" s="23"/>
      <c r="V45" s="25" t="s">
        <v>196</v>
      </c>
      <c r="W45" s="25" t="s">
        <v>245</v>
      </c>
      <c r="X45" s="25"/>
    </row>
    <row r="46" spans="10:24" ht="12.75">
      <c r="J46" s="25"/>
      <c r="V46" s="40" t="s">
        <v>249</v>
      </c>
      <c r="W46" s="25" t="s">
        <v>247</v>
      </c>
      <c r="X46" s="25"/>
    </row>
    <row r="47" spans="10:24" ht="12.75">
      <c r="J47" s="25"/>
      <c r="K47" s="60">
        <v>1072.6</v>
      </c>
      <c r="L47" s="60">
        <v>1072.6</v>
      </c>
      <c r="M47" s="60"/>
      <c r="N47" s="60"/>
      <c r="O47" s="60">
        <v>1053</v>
      </c>
      <c r="P47" s="60">
        <v>1053</v>
      </c>
      <c r="Q47" s="60"/>
      <c r="R47" t="s">
        <v>252</v>
      </c>
      <c r="S47" s="8"/>
      <c r="V47" s="25"/>
      <c r="W47" s="25" t="s">
        <v>246</v>
      </c>
      <c r="X47" s="25"/>
    </row>
    <row r="48" spans="10:24" ht="12.75">
      <c r="J48" s="25"/>
      <c r="K48" s="72">
        <f aca="true" t="shared" si="18" ref="K48:Q48">K47*6.5</f>
        <v>6971.9</v>
      </c>
      <c r="L48" s="72">
        <f t="shared" si="18"/>
        <v>6971.9</v>
      </c>
      <c r="M48" s="72">
        <f t="shared" si="18"/>
        <v>0</v>
      </c>
      <c r="N48" s="72">
        <f t="shared" si="18"/>
        <v>0</v>
      </c>
      <c r="O48" s="72">
        <f t="shared" si="18"/>
        <v>6844.5</v>
      </c>
      <c r="P48" s="72">
        <f>P47*6.5</f>
        <v>6844.5</v>
      </c>
      <c r="Q48" s="72">
        <f t="shared" si="18"/>
        <v>0</v>
      </c>
      <c r="R48" t="s">
        <v>542</v>
      </c>
      <c r="S48" s="8"/>
      <c r="T48" s="24" t="s">
        <v>759</v>
      </c>
      <c r="V48" s="25"/>
      <c r="W48" s="25" t="s">
        <v>248</v>
      </c>
      <c r="X48" s="25"/>
    </row>
    <row r="49" spans="10:20" ht="12.75">
      <c r="J49" s="25"/>
      <c r="K49" s="72">
        <f>K47*6.8</f>
        <v>7293.679999999999</v>
      </c>
      <c r="L49" s="72">
        <f aca="true" t="shared" si="19" ref="L49:Q49">L47*6.8</f>
        <v>7293.679999999999</v>
      </c>
      <c r="M49" s="72">
        <f t="shared" si="19"/>
        <v>0</v>
      </c>
      <c r="N49" s="72">
        <f t="shared" si="19"/>
        <v>0</v>
      </c>
      <c r="O49" s="72">
        <f t="shared" si="19"/>
        <v>7160.4</v>
      </c>
      <c r="P49" s="72">
        <f t="shared" si="19"/>
        <v>7160.4</v>
      </c>
      <c r="Q49" s="72">
        <f t="shared" si="19"/>
        <v>0</v>
      </c>
      <c r="R49" t="s">
        <v>791</v>
      </c>
      <c r="S49" s="8"/>
      <c r="T49" s="24" t="s">
        <v>760</v>
      </c>
    </row>
    <row r="50" spans="10:18" ht="12.75">
      <c r="J50" s="25"/>
      <c r="K50" s="23" t="s">
        <v>113</v>
      </c>
      <c r="L50" s="23" t="s">
        <v>113</v>
      </c>
      <c r="M50" s="24"/>
      <c r="N50" s="24"/>
      <c r="O50" s="23" t="s">
        <v>250</v>
      </c>
      <c r="P50" s="23" t="s">
        <v>251</v>
      </c>
      <c r="Q50" s="24"/>
      <c r="R50" s="25" t="s">
        <v>262</v>
      </c>
    </row>
    <row r="51" ht="12.75">
      <c r="J51" s="25"/>
    </row>
    <row r="52" spans="11:17" ht="12.75">
      <c r="K52" s="39"/>
      <c r="L52" s="39"/>
      <c r="P52" s="39"/>
      <c r="Q52" s="39"/>
    </row>
    <row r="53" spans="11:19" ht="12.75">
      <c r="K53" s="104" t="s">
        <v>546</v>
      </c>
      <c r="L53" s="104" t="s">
        <v>546</v>
      </c>
      <c r="M53" s="60"/>
      <c r="N53" s="60"/>
      <c r="O53" s="104" t="s">
        <v>546</v>
      </c>
      <c r="P53" s="60">
        <v>1503</v>
      </c>
      <c r="Q53" s="60"/>
      <c r="R53" t="s">
        <v>253</v>
      </c>
      <c r="S53" s="8"/>
    </row>
    <row r="54" spans="10:19" ht="12.75">
      <c r="J54" s="25"/>
      <c r="K54" s="72">
        <v>0</v>
      </c>
      <c r="L54" s="72">
        <v>0</v>
      </c>
      <c r="M54" s="72">
        <f>M53*6.5</f>
        <v>0</v>
      </c>
      <c r="N54" s="72">
        <f>N53*6.5</f>
        <v>0</v>
      </c>
      <c r="O54" s="72">
        <v>0</v>
      </c>
      <c r="P54" s="72">
        <f>P53*6.5</f>
        <v>9769.5</v>
      </c>
      <c r="Q54" s="72">
        <f>Q53*6.5</f>
        <v>0</v>
      </c>
      <c r="R54" t="s">
        <v>542</v>
      </c>
      <c r="S54" s="8"/>
    </row>
    <row r="55" spans="10:19" ht="12.75">
      <c r="J55" s="25"/>
      <c r="K55" s="72">
        <v>0</v>
      </c>
      <c r="L55" s="72">
        <v>0</v>
      </c>
      <c r="M55" s="72">
        <f>M53*6.8</f>
        <v>0</v>
      </c>
      <c r="N55" s="72">
        <f>N53*6.8</f>
        <v>0</v>
      </c>
      <c r="O55" s="72">
        <v>0</v>
      </c>
      <c r="P55" s="72">
        <f>P53*6.8</f>
        <v>10220.4</v>
      </c>
      <c r="Q55" s="72">
        <f>Q53*6.8</f>
        <v>0</v>
      </c>
      <c r="R55" t="s">
        <v>791</v>
      </c>
      <c r="S55" s="8"/>
    </row>
    <row r="56" spans="10:18" ht="12.75">
      <c r="J56" s="25"/>
      <c r="K56" s="23" t="s">
        <v>264</v>
      </c>
      <c r="L56" s="23" t="s">
        <v>264</v>
      </c>
      <c r="M56" s="24"/>
      <c r="N56" s="24"/>
      <c r="O56" s="23" t="s">
        <v>250</v>
      </c>
      <c r="P56" s="23" t="s">
        <v>251</v>
      </c>
      <c r="Q56" s="24"/>
      <c r="R56" s="25" t="s">
        <v>262</v>
      </c>
    </row>
    <row r="57" spans="9:10" ht="12.75">
      <c r="I57" s="1" t="s">
        <v>700</v>
      </c>
      <c r="J57" s="25"/>
    </row>
    <row r="58" ht="12.75">
      <c r="J58" s="25"/>
    </row>
    <row r="59" spans="10:18" ht="12.75">
      <c r="J59" s="25"/>
      <c r="K59" s="39" t="s">
        <v>74</v>
      </c>
      <c r="L59" s="39" t="s">
        <v>74</v>
      </c>
      <c r="O59" s="39" t="s">
        <v>74</v>
      </c>
      <c r="P59" s="39" t="s">
        <v>74</v>
      </c>
      <c r="Q59" s="39"/>
      <c r="R59" t="s">
        <v>212</v>
      </c>
    </row>
    <row r="60" spans="10:18" ht="12.75">
      <c r="J60" s="25"/>
      <c r="K60" s="39" t="s">
        <v>208</v>
      </c>
      <c r="L60" s="39" t="s">
        <v>208</v>
      </c>
      <c r="O60" s="39" t="s">
        <v>208</v>
      </c>
      <c r="P60" s="39" t="s">
        <v>208</v>
      </c>
      <c r="Q60" s="39"/>
      <c r="R60" t="s">
        <v>206</v>
      </c>
    </row>
    <row r="61" spans="10:18" ht="12.75">
      <c r="J61" s="25"/>
      <c r="K61" s="39" t="s">
        <v>266</v>
      </c>
      <c r="L61" s="39" t="s">
        <v>266</v>
      </c>
      <c r="O61" s="39" t="s">
        <v>209</v>
      </c>
      <c r="P61" s="39" t="s">
        <v>209</v>
      </c>
      <c r="Q61" s="39"/>
      <c r="R61" t="s">
        <v>207</v>
      </c>
    </row>
    <row r="62" spans="10:18" ht="12.75">
      <c r="J62" s="25"/>
      <c r="K62" s="40" t="s">
        <v>546</v>
      </c>
      <c r="L62" s="40" t="s">
        <v>546</v>
      </c>
      <c r="O62" s="39" t="s">
        <v>210</v>
      </c>
      <c r="P62" s="39" t="s">
        <v>210</v>
      </c>
      <c r="Q62" s="39"/>
      <c r="R62" t="s">
        <v>187</v>
      </c>
    </row>
    <row r="63" spans="10:17" ht="12.75">
      <c r="J63" s="25"/>
      <c r="K63" s="23" t="s">
        <v>534</v>
      </c>
      <c r="L63" s="23" t="s">
        <v>534</v>
      </c>
      <c r="M63" s="24"/>
      <c r="N63" s="24"/>
      <c r="O63" s="23" t="s">
        <v>230</v>
      </c>
      <c r="P63" s="23" t="s">
        <v>211</v>
      </c>
      <c r="Q63" s="23"/>
    </row>
    <row r="64" spans="10:18" ht="12.75">
      <c r="J64" s="25"/>
      <c r="K64" s="39"/>
      <c r="L64" s="39"/>
      <c r="P64" s="39"/>
      <c r="Q64" s="39"/>
      <c r="R64" s="14" t="s">
        <v>216</v>
      </c>
    </row>
    <row r="65" spans="10:21" ht="12.75">
      <c r="J65" s="25"/>
      <c r="K65" s="69" t="s">
        <v>218</v>
      </c>
      <c r="L65" s="69" t="s">
        <v>218</v>
      </c>
      <c r="O65" s="69" t="s">
        <v>218</v>
      </c>
      <c r="P65" s="69" t="s">
        <v>218</v>
      </c>
      <c r="Q65" s="39"/>
      <c r="R65" t="s">
        <v>556</v>
      </c>
      <c r="S65" s="8"/>
      <c r="U65" t="s">
        <v>258</v>
      </c>
    </row>
    <row r="66" spans="10:21" ht="12.75">
      <c r="J66" s="25"/>
      <c r="K66" s="39" t="s">
        <v>217</v>
      </c>
      <c r="L66" s="39" t="s">
        <v>217</v>
      </c>
      <c r="M66" s="24"/>
      <c r="N66" s="24"/>
      <c r="O66" s="39" t="s">
        <v>217</v>
      </c>
      <c r="P66" s="39" t="s">
        <v>217</v>
      </c>
      <c r="Q66" s="39"/>
      <c r="R66" t="s">
        <v>181</v>
      </c>
      <c r="S66" s="8"/>
      <c r="T66" s="39"/>
      <c r="U66" s="71" t="s">
        <v>259</v>
      </c>
    </row>
    <row r="67" spans="10:17" ht="12.75">
      <c r="J67" s="25"/>
      <c r="K67" s="91" t="s">
        <v>543</v>
      </c>
      <c r="L67" s="91" t="s">
        <v>543</v>
      </c>
      <c r="O67" s="23" t="s">
        <v>231</v>
      </c>
      <c r="P67" s="23" t="s">
        <v>219</v>
      </c>
      <c r="Q67" s="39"/>
    </row>
    <row r="68" spans="10:18" ht="12.75">
      <c r="J68" s="25"/>
      <c r="K68" s="39"/>
      <c r="L68" s="39"/>
      <c r="P68" s="27"/>
      <c r="R68" s="14" t="s">
        <v>223</v>
      </c>
    </row>
    <row r="69" spans="10:19" ht="12.75">
      <c r="J69" s="25"/>
      <c r="K69" s="39"/>
      <c r="L69" s="39"/>
      <c r="O69" s="27" t="s">
        <v>220</v>
      </c>
      <c r="P69" s="27" t="s">
        <v>220</v>
      </c>
      <c r="R69" s="27" t="s">
        <v>705</v>
      </c>
      <c r="S69" t="s">
        <v>233</v>
      </c>
    </row>
    <row r="70" spans="10:18" ht="12.75">
      <c r="J70" s="25"/>
      <c r="K70" s="39"/>
      <c r="L70" s="39"/>
      <c r="O70" s="27" t="s">
        <v>232</v>
      </c>
      <c r="P70" s="27" t="s">
        <v>221</v>
      </c>
      <c r="R70" s="27" t="s">
        <v>806</v>
      </c>
    </row>
    <row r="71" spans="10:16" ht="12.75">
      <c r="J71" s="25"/>
      <c r="K71" s="39"/>
      <c r="L71" s="39"/>
      <c r="O71" s="23" t="s">
        <v>231</v>
      </c>
      <c r="P71" s="23" t="s">
        <v>219</v>
      </c>
    </row>
    <row r="72" spans="10:18" ht="12.75">
      <c r="J72" s="25"/>
      <c r="K72" s="39"/>
      <c r="L72" s="39"/>
      <c r="P72" s="39"/>
      <c r="Q72" s="39"/>
      <c r="R72" s="14" t="s">
        <v>224</v>
      </c>
    </row>
    <row r="73" spans="10:18" ht="12.75">
      <c r="J73" s="25"/>
      <c r="K73" s="69"/>
      <c r="L73" s="69"/>
      <c r="O73" s="27" t="s">
        <v>238</v>
      </c>
      <c r="P73" s="39" t="s">
        <v>228</v>
      </c>
      <c r="Q73" s="39"/>
      <c r="R73" s="27" t="s">
        <v>705</v>
      </c>
    </row>
    <row r="74" spans="10:18" ht="12.75">
      <c r="J74" s="25"/>
      <c r="K74" s="39"/>
      <c r="L74" s="39"/>
      <c r="O74" s="27" t="s">
        <v>234</v>
      </c>
      <c r="P74" s="39" t="s">
        <v>225</v>
      </c>
      <c r="R74" s="27" t="s">
        <v>222</v>
      </c>
    </row>
    <row r="75" spans="10:18" ht="12.75">
      <c r="J75" s="25"/>
      <c r="K75" s="39"/>
      <c r="L75" s="39"/>
      <c r="O75" s="39" t="s">
        <v>226</v>
      </c>
      <c r="P75" s="39" t="s">
        <v>226</v>
      </c>
      <c r="R75" s="27" t="s">
        <v>806</v>
      </c>
    </row>
    <row r="76" spans="10:16" ht="12.75">
      <c r="J76" s="25"/>
      <c r="K76" s="39"/>
      <c r="L76" s="39"/>
      <c r="O76" s="23" t="s">
        <v>231</v>
      </c>
      <c r="P76" s="23" t="s">
        <v>219</v>
      </c>
    </row>
    <row r="77" ht="12.75">
      <c r="J77" s="25"/>
    </row>
    <row r="78" spans="9:18" ht="12.75">
      <c r="I78" s="1" t="s">
        <v>701</v>
      </c>
      <c r="J78" s="25"/>
      <c r="K78" s="27" t="s">
        <v>138</v>
      </c>
      <c r="L78" s="27" t="s">
        <v>134</v>
      </c>
      <c r="O78" s="27" t="s">
        <v>235</v>
      </c>
      <c r="P78" s="27" t="s">
        <v>214</v>
      </c>
      <c r="R78" t="s">
        <v>189</v>
      </c>
    </row>
    <row r="79" spans="10:18" ht="12.75">
      <c r="J79" s="25"/>
      <c r="K79" s="23" t="s">
        <v>808</v>
      </c>
      <c r="L79" s="23" t="s">
        <v>808</v>
      </c>
      <c r="O79" s="23" t="s">
        <v>236</v>
      </c>
      <c r="P79" s="23" t="s">
        <v>215</v>
      </c>
      <c r="Q79" s="25"/>
      <c r="R79" s="35" t="s">
        <v>213</v>
      </c>
    </row>
    <row r="80" ht="12.75">
      <c r="J80" s="25"/>
    </row>
    <row r="81" spans="10:18" ht="12.75">
      <c r="J81" s="25"/>
      <c r="K81" s="27" t="s">
        <v>260</v>
      </c>
      <c r="L81" s="27" t="s">
        <v>260</v>
      </c>
      <c r="O81" s="27" t="s">
        <v>260</v>
      </c>
      <c r="P81" s="27" t="s">
        <v>260</v>
      </c>
      <c r="R81" t="s">
        <v>2</v>
      </c>
    </row>
    <row r="82" spans="10:18" ht="12.75">
      <c r="J82" s="25"/>
      <c r="K82" s="23" t="s">
        <v>543</v>
      </c>
      <c r="L82" s="23" t="s">
        <v>543</v>
      </c>
      <c r="O82" s="23" t="s">
        <v>536</v>
      </c>
      <c r="P82" s="23" t="s">
        <v>536</v>
      </c>
      <c r="R82" t="s">
        <v>3</v>
      </c>
    </row>
    <row r="84" ht="12.75">
      <c r="R84" t="s">
        <v>185</v>
      </c>
    </row>
    <row r="85" ht="12.75">
      <c r="R85" s="35" t="s">
        <v>237</v>
      </c>
    </row>
    <row r="87" spans="11:18" ht="12.75">
      <c r="K87" s="39" t="s">
        <v>695</v>
      </c>
      <c r="L87" s="39" t="s">
        <v>695</v>
      </c>
      <c r="O87" s="39" t="s">
        <v>695</v>
      </c>
      <c r="P87" s="39" t="s">
        <v>254</v>
      </c>
      <c r="Q87" s="39"/>
      <c r="R87" t="s">
        <v>541</v>
      </c>
    </row>
    <row r="88" spans="11:17" ht="12.75">
      <c r="K88" s="23" t="s">
        <v>69</v>
      </c>
      <c r="L88" s="23" t="s">
        <v>69</v>
      </c>
      <c r="O88" s="23" t="s">
        <v>69</v>
      </c>
      <c r="P88" s="23" t="s">
        <v>69</v>
      </c>
      <c r="Q88" s="23"/>
    </row>
    <row r="90" spans="11:18" ht="12.75">
      <c r="K90" s="71" t="s">
        <v>78</v>
      </c>
      <c r="L90" s="71" t="s">
        <v>78</v>
      </c>
      <c r="O90" s="71" t="s">
        <v>257</v>
      </c>
      <c r="P90" s="71" t="s">
        <v>257</v>
      </c>
      <c r="Q90" s="39"/>
      <c r="R90" s="55" t="s">
        <v>852</v>
      </c>
    </row>
    <row r="91" spans="11:16" ht="12.75">
      <c r="K91" s="23" t="s">
        <v>118</v>
      </c>
      <c r="L91" s="23" t="s">
        <v>118</v>
      </c>
      <c r="O91" s="23" t="s">
        <v>643</v>
      </c>
      <c r="P91" s="23" t="s">
        <v>643</v>
      </c>
    </row>
    <row r="92" spans="11:20" ht="12.75">
      <c r="K92" s="27"/>
      <c r="L92" s="27"/>
      <c r="P92" s="27"/>
      <c r="T92" s="27"/>
    </row>
    <row r="93" spans="12:21" ht="12.75">
      <c r="L93" s="27"/>
      <c r="P93" s="27"/>
      <c r="Q93" s="27"/>
      <c r="R93" s="14" t="s">
        <v>996</v>
      </c>
      <c r="U93" s="39"/>
    </row>
    <row r="94" spans="16:21" ht="12.75">
      <c r="P94" s="39" t="s">
        <v>1035</v>
      </c>
      <c r="R94" t="s">
        <v>997</v>
      </c>
      <c r="U94" s="39"/>
    </row>
    <row r="95" spans="16:21" ht="12.75">
      <c r="P95" s="39"/>
      <c r="U95" s="23"/>
    </row>
    <row r="96" ht="12.75">
      <c r="P96" s="23"/>
    </row>
    <row r="98" spans="16:18" ht="12.75">
      <c r="P98" t="s">
        <v>1036</v>
      </c>
      <c r="R98" t="s">
        <v>998</v>
      </c>
    </row>
    <row r="99" ht="12.75">
      <c r="I99" s="1"/>
    </row>
    <row r="100" ht="12.75">
      <c r="I100" s="1" t="s">
        <v>702</v>
      </c>
    </row>
    <row r="102" spans="11:18" ht="12.75">
      <c r="K102" s="25"/>
      <c r="L102" s="40"/>
      <c r="P102" s="40"/>
      <c r="Q102" s="25"/>
      <c r="R102" s="11" t="s">
        <v>786</v>
      </c>
    </row>
    <row r="103" spans="11:17" ht="12.75">
      <c r="K103" s="58" t="s">
        <v>263</v>
      </c>
      <c r="L103" s="58" t="s">
        <v>263</v>
      </c>
      <c r="O103" s="58" t="s">
        <v>229</v>
      </c>
      <c r="P103" s="58" t="s">
        <v>227</v>
      </c>
      <c r="Q103" s="65"/>
    </row>
    <row r="104" spans="11:15" ht="12.75">
      <c r="K104" s="23"/>
      <c r="L104" s="23"/>
      <c r="N104" s="23"/>
      <c r="O104" s="23"/>
    </row>
    <row r="105" spans="11:19" ht="12.75">
      <c r="K105" s="79">
        <v>14670</v>
      </c>
      <c r="L105" s="79">
        <v>14670</v>
      </c>
      <c r="N105" s="79"/>
      <c r="O105" s="79">
        <v>17000</v>
      </c>
      <c r="P105" s="79">
        <v>17800</v>
      </c>
      <c r="Q105" s="79"/>
      <c r="R105" s="27" t="s">
        <v>867</v>
      </c>
      <c r="S105" s="34" t="s">
        <v>875</v>
      </c>
    </row>
    <row r="106" spans="11:18" ht="12.75">
      <c r="K106" s="39">
        <v>0.735</v>
      </c>
      <c r="L106" s="39">
        <v>0.735</v>
      </c>
      <c r="M106" s="39"/>
      <c r="N106" s="39"/>
      <c r="O106" s="39">
        <v>0.745</v>
      </c>
      <c r="P106" s="39">
        <v>0.726</v>
      </c>
      <c r="Q106" s="39"/>
      <c r="R106" s="27" t="s">
        <v>784</v>
      </c>
    </row>
    <row r="107" spans="11:19" ht="12.75">
      <c r="K107" s="31">
        <f aca="true" t="shared" si="20" ref="K107:Q107">(K105*K106)/3600</f>
        <v>2.995125</v>
      </c>
      <c r="L107" s="31">
        <f t="shared" si="20"/>
        <v>2.995125</v>
      </c>
      <c r="M107" s="31">
        <f>(N105*M106)/3600</f>
        <v>0</v>
      </c>
      <c r="N107" s="31">
        <f t="shared" si="20"/>
        <v>0</v>
      </c>
      <c r="O107" s="31">
        <f t="shared" si="20"/>
        <v>3.5180555555555557</v>
      </c>
      <c r="P107" s="31">
        <f t="shared" si="20"/>
        <v>3.5896666666666666</v>
      </c>
      <c r="Q107" s="31">
        <f t="shared" si="20"/>
        <v>0</v>
      </c>
      <c r="R107" s="27" t="s">
        <v>868</v>
      </c>
      <c r="S107" s="34" t="s">
        <v>876</v>
      </c>
    </row>
    <row r="108" spans="11:18" ht="12.75">
      <c r="K108" s="40"/>
      <c r="L108" s="40"/>
      <c r="M108" s="40"/>
      <c r="N108" s="40"/>
      <c r="O108" s="40"/>
      <c r="R108" s="27"/>
    </row>
    <row r="109" spans="11:19" ht="12.75">
      <c r="K109" s="79">
        <v>23830</v>
      </c>
      <c r="L109" s="79">
        <v>23830</v>
      </c>
      <c r="M109" s="79"/>
      <c r="N109" s="79"/>
      <c r="O109" s="79">
        <v>29500</v>
      </c>
      <c r="P109" s="79">
        <v>29100</v>
      </c>
      <c r="Q109" s="79"/>
      <c r="R109" s="27" t="s">
        <v>144</v>
      </c>
      <c r="S109" s="34" t="s">
        <v>875</v>
      </c>
    </row>
    <row r="110" spans="11:18" ht="12.75">
      <c r="K110" s="39">
        <v>2.1</v>
      </c>
      <c r="L110" s="39">
        <v>2.1</v>
      </c>
      <c r="M110" s="39"/>
      <c r="N110" s="39"/>
      <c r="O110" s="39">
        <v>1.9</v>
      </c>
      <c r="P110" s="39">
        <v>2.06</v>
      </c>
      <c r="Q110" s="39"/>
      <c r="R110" s="27" t="s">
        <v>784</v>
      </c>
    </row>
    <row r="111" spans="11:19" ht="12.75">
      <c r="K111" s="31">
        <f aca="true" t="shared" si="21" ref="K111:Q111">(K109*K110)/3600</f>
        <v>13.900833333333333</v>
      </c>
      <c r="L111" s="31">
        <f t="shared" si="21"/>
        <v>13.900833333333333</v>
      </c>
      <c r="M111" s="31">
        <f t="shared" si="21"/>
        <v>0</v>
      </c>
      <c r="N111" s="31">
        <f t="shared" si="21"/>
        <v>0</v>
      </c>
      <c r="O111" s="31">
        <f t="shared" si="21"/>
        <v>15.569444444444445</v>
      </c>
      <c r="P111" s="31">
        <f t="shared" si="21"/>
        <v>16.651666666666667</v>
      </c>
      <c r="Q111" s="31">
        <f t="shared" si="21"/>
        <v>0</v>
      </c>
      <c r="R111" s="27" t="s">
        <v>868</v>
      </c>
      <c r="S111" s="34" t="s">
        <v>876</v>
      </c>
    </row>
    <row r="112" spans="15:18" ht="12.75">
      <c r="O112" s="23" t="s">
        <v>261</v>
      </c>
      <c r="P112" s="23" t="s">
        <v>261</v>
      </c>
      <c r="R112" s="27"/>
    </row>
    <row r="113" spans="13:16" ht="12.75">
      <c r="M113" s="32"/>
      <c r="P113" s="32"/>
    </row>
    <row r="115" ht="12.75">
      <c r="R115" s="11" t="s">
        <v>799</v>
      </c>
    </row>
    <row r="118" ht="12.75">
      <c r="O118" s="11" t="s">
        <v>133</v>
      </c>
    </row>
    <row r="119" ht="12.75">
      <c r="O119" s="23" t="s">
        <v>1037</v>
      </c>
    </row>
    <row r="121" spans="9:20" ht="12.75">
      <c r="I121" s="1" t="s">
        <v>706</v>
      </c>
      <c r="K121" s="27" t="s">
        <v>539</v>
      </c>
      <c r="L121" s="39" t="s">
        <v>696</v>
      </c>
      <c r="M121" s="39" t="s">
        <v>417</v>
      </c>
      <c r="N121" s="39" t="s">
        <v>697</v>
      </c>
      <c r="O121" s="39" t="s">
        <v>733</v>
      </c>
      <c r="P121" s="39"/>
      <c r="Q121" s="55"/>
      <c r="T121" s="93"/>
    </row>
    <row r="122" spans="11:19" ht="12.75">
      <c r="K122" s="32" t="s">
        <v>796</v>
      </c>
      <c r="L122" s="32" t="s">
        <v>796</v>
      </c>
      <c r="M122" s="32" t="s">
        <v>796</v>
      </c>
      <c r="N122" s="32" t="s">
        <v>796</v>
      </c>
      <c r="O122" s="32" t="s">
        <v>796</v>
      </c>
      <c r="P122" s="32" t="s">
        <v>70</v>
      </c>
      <c r="Q122" s="58" t="s">
        <v>79</v>
      </c>
      <c r="R122" s="32" t="s">
        <v>400</v>
      </c>
      <c r="S122" s="32" t="s">
        <v>399</v>
      </c>
    </row>
    <row r="123" spans="11:20" ht="12.75">
      <c r="K123" s="23" t="s">
        <v>81</v>
      </c>
      <c r="L123" s="23" t="s">
        <v>82</v>
      </c>
      <c r="M123" s="23" t="s">
        <v>83</v>
      </c>
      <c r="N123" s="23" t="s">
        <v>84</v>
      </c>
      <c r="O123" s="23" t="s">
        <v>80</v>
      </c>
      <c r="P123" s="23"/>
      <c r="Q123" s="55"/>
      <c r="T123" s="93"/>
    </row>
    <row r="124" ht="12.75">
      <c r="K124" s="24" t="s">
        <v>85</v>
      </c>
    </row>
    <row r="126" spans="11:19" ht="12.75">
      <c r="K126" s="27">
        <v>1</v>
      </c>
      <c r="L126" s="27">
        <v>1</v>
      </c>
      <c r="M126" s="27">
        <v>1</v>
      </c>
      <c r="N126" s="27"/>
      <c r="O126" s="27"/>
      <c r="P126" s="96" t="s">
        <v>401</v>
      </c>
      <c r="Q126" s="39" t="s">
        <v>86</v>
      </c>
      <c r="R126" s="57" t="s">
        <v>429</v>
      </c>
      <c r="S126" s="45" t="s">
        <v>65</v>
      </c>
    </row>
    <row r="127" spans="11:18" ht="12.75">
      <c r="K127" s="27"/>
      <c r="L127" s="27"/>
      <c r="M127" s="27"/>
      <c r="N127" s="27"/>
      <c r="O127" s="27"/>
      <c r="P127" s="96"/>
      <c r="Q127" s="27"/>
      <c r="R127" s="57"/>
    </row>
    <row r="128" spans="11:19" ht="12.75">
      <c r="K128" s="27"/>
      <c r="L128" s="27"/>
      <c r="M128" s="27">
        <v>3</v>
      </c>
      <c r="N128" s="27"/>
      <c r="O128" s="27"/>
      <c r="P128" s="96" t="s">
        <v>96</v>
      </c>
      <c r="Q128" s="27" t="s">
        <v>92</v>
      </c>
      <c r="R128" s="57" t="s">
        <v>140</v>
      </c>
      <c r="S128" t="s">
        <v>65</v>
      </c>
    </row>
    <row r="129" spans="11:18" ht="12.75">
      <c r="K129" s="27"/>
      <c r="L129" s="27"/>
      <c r="M129" s="27"/>
      <c r="N129" s="27"/>
      <c r="O129" s="27"/>
      <c r="P129" s="96"/>
      <c r="Q129" s="27"/>
      <c r="R129" s="57"/>
    </row>
    <row r="130" spans="11:19" ht="12.75">
      <c r="K130" s="27"/>
      <c r="L130" s="27"/>
      <c r="M130" s="27">
        <v>1</v>
      </c>
      <c r="N130" s="27">
        <v>3</v>
      </c>
      <c r="O130" s="27"/>
      <c r="P130" s="96" t="s">
        <v>102</v>
      </c>
      <c r="Q130" s="27" t="s">
        <v>89</v>
      </c>
      <c r="R130" s="57"/>
      <c r="S130" t="s">
        <v>385</v>
      </c>
    </row>
    <row r="131" spans="11:19" ht="12.75">
      <c r="K131" s="27"/>
      <c r="L131" s="27"/>
      <c r="M131" s="27">
        <v>1</v>
      </c>
      <c r="N131" s="27">
        <v>3</v>
      </c>
      <c r="O131" s="27"/>
      <c r="P131" s="96" t="s">
        <v>103</v>
      </c>
      <c r="Q131" s="27" t="s">
        <v>90</v>
      </c>
      <c r="R131" s="57"/>
      <c r="S131" t="s">
        <v>385</v>
      </c>
    </row>
    <row r="132" spans="11:19" ht="12.75">
      <c r="K132" s="27"/>
      <c r="L132" s="27"/>
      <c r="M132" s="27">
        <v>1</v>
      </c>
      <c r="N132" s="27">
        <v>3</v>
      </c>
      <c r="O132" s="27"/>
      <c r="P132" s="96" t="s">
        <v>103</v>
      </c>
      <c r="Q132" s="27" t="s">
        <v>91</v>
      </c>
      <c r="R132" s="57"/>
      <c r="S132" t="s">
        <v>385</v>
      </c>
    </row>
    <row r="133" spans="11:19" ht="12.75">
      <c r="K133" s="27"/>
      <c r="L133" s="27"/>
      <c r="M133" s="27">
        <v>3</v>
      </c>
      <c r="N133" s="27">
        <v>3</v>
      </c>
      <c r="O133" s="27"/>
      <c r="P133" s="96" t="s">
        <v>106</v>
      </c>
      <c r="Q133" s="39" t="s">
        <v>698</v>
      </c>
      <c r="S133" s="55" t="s">
        <v>385</v>
      </c>
    </row>
    <row r="134" spans="11:18" ht="12.75">
      <c r="K134" s="27"/>
      <c r="L134" s="27"/>
      <c r="M134" s="27"/>
      <c r="N134" s="27"/>
      <c r="O134" s="27"/>
      <c r="P134" s="96"/>
      <c r="Q134" s="27"/>
      <c r="R134" s="57"/>
    </row>
    <row r="135" spans="11:19" ht="12.75">
      <c r="K135" s="27"/>
      <c r="L135" s="27"/>
      <c r="M135" s="27">
        <v>2</v>
      </c>
      <c r="N135" s="27">
        <v>2</v>
      </c>
      <c r="O135" s="27"/>
      <c r="P135" s="96" t="s">
        <v>105</v>
      </c>
      <c r="Q135" s="27" t="s">
        <v>437</v>
      </c>
      <c r="R135" s="96" t="s">
        <v>407</v>
      </c>
      <c r="S135" t="s">
        <v>95</v>
      </c>
    </row>
    <row r="136" spans="11:19" ht="12.75">
      <c r="K136" s="27"/>
      <c r="L136" s="27"/>
      <c r="M136" s="27">
        <v>1</v>
      </c>
      <c r="N136" s="27"/>
      <c r="P136" s="96" t="s">
        <v>104</v>
      </c>
      <c r="Q136" s="27" t="s">
        <v>610</v>
      </c>
      <c r="R136" s="96" t="s">
        <v>411</v>
      </c>
      <c r="S136" t="s">
        <v>95</v>
      </c>
    </row>
    <row r="137" spans="11:16" ht="12.75">
      <c r="K137" s="27"/>
      <c r="L137" s="27"/>
      <c r="P137" s="96"/>
    </row>
    <row r="138" spans="11:19" ht="12.75">
      <c r="K138" s="27"/>
      <c r="L138" s="27"/>
      <c r="M138" s="27">
        <v>2</v>
      </c>
      <c r="N138" s="27"/>
      <c r="O138" s="27"/>
      <c r="P138" s="96" t="s">
        <v>93</v>
      </c>
      <c r="Q138" s="27" t="s">
        <v>388</v>
      </c>
      <c r="R138" s="96" t="s">
        <v>94</v>
      </c>
      <c r="S138" s="45" t="s">
        <v>798</v>
      </c>
    </row>
    <row r="139" spans="11:18" ht="12.75">
      <c r="K139" s="27"/>
      <c r="L139" s="27"/>
      <c r="M139" s="27"/>
      <c r="N139" s="27"/>
      <c r="O139" s="27"/>
      <c r="P139" s="96"/>
      <c r="Q139" s="27"/>
      <c r="R139" s="57"/>
    </row>
    <row r="140" spans="11:19" ht="12.75">
      <c r="K140" s="27"/>
      <c r="L140" s="27"/>
      <c r="M140" s="27">
        <v>3</v>
      </c>
      <c r="N140" s="27">
        <v>3</v>
      </c>
      <c r="O140" s="27"/>
      <c r="P140" s="96" t="s">
        <v>100</v>
      </c>
      <c r="Q140" s="27" t="s">
        <v>735</v>
      </c>
      <c r="R140" s="96" t="s">
        <v>407</v>
      </c>
      <c r="S140" s="34" t="s">
        <v>611</v>
      </c>
    </row>
    <row r="141" spans="11:19" ht="12.75">
      <c r="K141" s="27"/>
      <c r="L141" s="27"/>
      <c r="M141" s="27">
        <v>1</v>
      </c>
      <c r="N141" s="27">
        <v>1</v>
      </c>
      <c r="O141" s="27"/>
      <c r="P141" s="96" t="s">
        <v>107</v>
      </c>
      <c r="Q141" s="27" t="s">
        <v>64</v>
      </c>
      <c r="R141" s="96" t="s">
        <v>411</v>
      </c>
      <c r="S141" s="34" t="s">
        <v>611</v>
      </c>
    </row>
    <row r="142" spans="9:17" ht="12.75">
      <c r="I142" s="1" t="s">
        <v>707</v>
      </c>
      <c r="K142" s="27"/>
      <c r="L142" s="27"/>
      <c r="M142" s="27"/>
      <c r="N142" s="27"/>
      <c r="O142" s="27"/>
      <c r="P142" s="96"/>
      <c r="Q142" s="27"/>
    </row>
    <row r="143" spans="11:19" ht="12.75">
      <c r="K143" s="27"/>
      <c r="L143" s="27"/>
      <c r="M143" s="27">
        <v>1</v>
      </c>
      <c r="N143" s="27">
        <v>1</v>
      </c>
      <c r="O143" s="27">
        <v>1</v>
      </c>
      <c r="P143" s="96" t="s">
        <v>100</v>
      </c>
      <c r="Q143" s="27" t="s">
        <v>369</v>
      </c>
      <c r="R143" s="96" t="s">
        <v>412</v>
      </c>
      <c r="S143" t="s">
        <v>801</v>
      </c>
    </row>
    <row r="144" spans="11:19" ht="12.75">
      <c r="K144" s="27"/>
      <c r="L144" s="27"/>
      <c r="M144" s="27">
        <v>1</v>
      </c>
      <c r="N144" s="27">
        <v>1</v>
      </c>
      <c r="O144" s="27">
        <v>1</v>
      </c>
      <c r="P144" s="96" t="s">
        <v>101</v>
      </c>
      <c r="Q144" s="27" t="s">
        <v>415</v>
      </c>
      <c r="R144" s="96" t="s">
        <v>412</v>
      </c>
      <c r="S144" t="s">
        <v>801</v>
      </c>
    </row>
    <row r="145" spans="11:16" ht="12.75">
      <c r="K145" s="27"/>
      <c r="L145" s="27"/>
      <c r="P145" s="96"/>
    </row>
    <row r="146" spans="11:20" ht="12.75">
      <c r="K146" s="27"/>
      <c r="M146" s="27"/>
      <c r="N146" s="27"/>
      <c r="O146" s="27">
        <v>1</v>
      </c>
      <c r="P146" s="96" t="s">
        <v>108</v>
      </c>
      <c r="Q146" s="27"/>
      <c r="R146" s="96" t="s">
        <v>87</v>
      </c>
      <c r="S146" s="34" t="s">
        <v>416</v>
      </c>
      <c r="T146" t="s">
        <v>109</v>
      </c>
    </row>
    <row r="147" spans="11:20" ht="12.75">
      <c r="K147" s="27"/>
      <c r="L147" s="27"/>
      <c r="M147" s="27"/>
      <c r="N147" s="27">
        <v>1</v>
      </c>
      <c r="O147" s="27"/>
      <c r="P147" s="96" t="s">
        <v>110</v>
      </c>
      <c r="Q147" s="57"/>
      <c r="R147" s="96" t="s">
        <v>88</v>
      </c>
      <c r="S147" s="34" t="s">
        <v>416</v>
      </c>
      <c r="T147" t="s">
        <v>111</v>
      </c>
    </row>
    <row r="148" spans="11:19" ht="12.75">
      <c r="K148" s="27"/>
      <c r="L148" s="27"/>
      <c r="M148" s="27"/>
      <c r="N148" s="27"/>
      <c r="O148" s="27"/>
      <c r="P148" s="96"/>
      <c r="Q148" s="27"/>
      <c r="R148" s="57"/>
      <c r="S148" s="34"/>
    </row>
    <row r="149" spans="11:19" ht="12.75">
      <c r="K149" s="27"/>
      <c r="L149" s="27"/>
      <c r="M149" s="27">
        <v>1</v>
      </c>
      <c r="N149" s="27"/>
      <c r="O149" s="27">
        <v>1</v>
      </c>
      <c r="P149" s="96" t="s">
        <v>362</v>
      </c>
      <c r="Q149" s="27" t="s">
        <v>97</v>
      </c>
      <c r="R149" s="57"/>
      <c r="S149" s="34" t="s">
        <v>804</v>
      </c>
    </row>
    <row r="150" spans="11:19" ht="12.75">
      <c r="K150" s="27"/>
      <c r="L150" s="27"/>
      <c r="M150" s="27">
        <v>1</v>
      </c>
      <c r="N150" s="27"/>
      <c r="O150" s="27">
        <v>1</v>
      </c>
      <c r="P150" s="96" t="s">
        <v>99</v>
      </c>
      <c r="Q150" s="27" t="s">
        <v>98</v>
      </c>
      <c r="S150" s="34" t="s">
        <v>804</v>
      </c>
    </row>
    <row r="151" spans="11:12" ht="12.75">
      <c r="K151" s="27"/>
      <c r="L151" s="27"/>
    </row>
    <row r="152" spans="11:12" ht="12.75">
      <c r="K152" s="27"/>
      <c r="L152" s="27"/>
    </row>
    <row r="153" ht="12.75">
      <c r="M153" s="11" t="s">
        <v>115</v>
      </c>
    </row>
    <row r="154" ht="12.75">
      <c r="M154" s="23" t="s">
        <v>116</v>
      </c>
    </row>
    <row r="156" spans="11:17" ht="12.75">
      <c r="K156" s="27" t="s">
        <v>539</v>
      </c>
      <c r="L156" s="39" t="s">
        <v>696</v>
      </c>
      <c r="M156" s="39" t="s">
        <v>417</v>
      </c>
      <c r="N156" s="39" t="s">
        <v>697</v>
      </c>
      <c r="O156" s="39" t="s">
        <v>733</v>
      </c>
      <c r="P156" s="39"/>
      <c r="Q156" s="55"/>
    </row>
    <row r="157" spans="11:21" ht="12.75">
      <c r="K157" s="32" t="s">
        <v>796</v>
      </c>
      <c r="L157" s="32" t="s">
        <v>796</v>
      </c>
      <c r="M157" s="32" t="s">
        <v>796</v>
      </c>
      <c r="N157" s="32" t="s">
        <v>796</v>
      </c>
      <c r="O157" s="32" t="s">
        <v>796</v>
      </c>
      <c r="P157" s="32" t="s">
        <v>70</v>
      </c>
      <c r="Q157" s="58" t="s">
        <v>79</v>
      </c>
      <c r="R157" s="32" t="s">
        <v>400</v>
      </c>
      <c r="S157" s="32" t="s">
        <v>399</v>
      </c>
      <c r="U157" s="32" t="s">
        <v>513</v>
      </c>
    </row>
    <row r="158" spans="11:17" ht="12.75">
      <c r="K158" s="23" t="s">
        <v>81</v>
      </c>
      <c r="L158" s="23" t="s">
        <v>82</v>
      </c>
      <c r="M158" s="23" t="s">
        <v>83</v>
      </c>
      <c r="N158" s="23" t="s">
        <v>84</v>
      </c>
      <c r="O158" s="23" t="s">
        <v>80</v>
      </c>
      <c r="P158" s="23"/>
      <c r="Q158" s="55"/>
    </row>
    <row r="159" spans="11:21" ht="12.75">
      <c r="K159" s="24" t="s">
        <v>85</v>
      </c>
      <c r="U159" t="s">
        <v>514</v>
      </c>
    </row>
    <row r="160" ht="12.75">
      <c r="U160" t="s">
        <v>511</v>
      </c>
    </row>
    <row r="161" ht="12.75">
      <c r="U161" t="s">
        <v>515</v>
      </c>
    </row>
    <row r="162" ht="12.75">
      <c r="U162" s="24" t="s">
        <v>512</v>
      </c>
    </row>
    <row r="163" ht="12.75">
      <c r="I163" s="1" t="s">
        <v>710</v>
      </c>
    </row>
    <row r="165" spans="13:21" ht="12.75">
      <c r="M165">
        <v>1</v>
      </c>
      <c r="Q165" t="s">
        <v>1031</v>
      </c>
      <c r="R165" s="57" t="s">
        <v>1032</v>
      </c>
      <c r="S165" t="s">
        <v>65</v>
      </c>
      <c r="U165" t="s">
        <v>1034</v>
      </c>
    </row>
    <row r="166" ht="12.75">
      <c r="U166" s="24" t="s">
        <v>1033</v>
      </c>
    </row>
    <row r="183" ht="12.75">
      <c r="I183" s="1" t="s">
        <v>725</v>
      </c>
    </row>
    <row r="204" ht="12.75">
      <c r="M204" s="11" t="s">
        <v>1038</v>
      </c>
    </row>
    <row r="205" spans="9:13" ht="12.75">
      <c r="I205" s="1" t="s">
        <v>724</v>
      </c>
      <c r="M205" s="129" t="s">
        <v>1061</v>
      </c>
    </row>
    <row r="207" spans="11:17" ht="12.75">
      <c r="K207" s="27" t="s">
        <v>539</v>
      </c>
      <c r="L207" s="39" t="s">
        <v>696</v>
      </c>
      <c r="M207" s="39" t="s">
        <v>417</v>
      </c>
      <c r="N207" s="39" t="s">
        <v>697</v>
      </c>
      <c r="O207" s="39" t="s">
        <v>733</v>
      </c>
      <c r="P207" s="39"/>
      <c r="Q207" s="55"/>
    </row>
    <row r="208" spans="11:20" ht="12.75">
      <c r="K208" s="32" t="s">
        <v>796</v>
      </c>
      <c r="L208" s="32" t="s">
        <v>796</v>
      </c>
      <c r="M208" s="32" t="s">
        <v>796</v>
      </c>
      <c r="N208" s="32" t="s">
        <v>796</v>
      </c>
      <c r="O208" s="32" t="s">
        <v>796</v>
      </c>
      <c r="P208" s="32" t="s">
        <v>70</v>
      </c>
      <c r="Q208" s="58" t="s">
        <v>79</v>
      </c>
      <c r="R208" s="32" t="s">
        <v>400</v>
      </c>
      <c r="S208" s="32" t="s">
        <v>399</v>
      </c>
      <c r="T208" s="32" t="s">
        <v>513</v>
      </c>
    </row>
    <row r="209" spans="11:17" ht="12.75">
      <c r="K209" s="23" t="s">
        <v>81</v>
      </c>
      <c r="L209" s="23" t="s">
        <v>82</v>
      </c>
      <c r="M209" s="23" t="s">
        <v>83</v>
      </c>
      <c r="N209" s="23" t="s">
        <v>84</v>
      </c>
      <c r="O209" s="23" t="s">
        <v>80</v>
      </c>
      <c r="P209" s="23"/>
      <c r="Q209" s="55"/>
    </row>
    <row r="210" ht="12.75">
      <c r="K210" s="24" t="s">
        <v>85</v>
      </c>
    </row>
    <row r="212" spans="11:19" ht="12.75">
      <c r="K212" s="27">
        <v>1</v>
      </c>
      <c r="L212" s="27">
        <v>1</v>
      </c>
      <c r="M212" s="27">
        <v>1</v>
      </c>
      <c r="N212" s="27"/>
      <c r="O212" s="27"/>
      <c r="P212" s="95" t="s">
        <v>401</v>
      </c>
      <c r="Q212" s="39" t="s">
        <v>1056</v>
      </c>
      <c r="R212" s="57" t="s">
        <v>429</v>
      </c>
      <c r="S212" s="45" t="s">
        <v>65</v>
      </c>
    </row>
    <row r="213" spans="11:19" ht="12.75">
      <c r="K213" s="27">
        <v>1</v>
      </c>
      <c r="L213" s="27">
        <v>1</v>
      </c>
      <c r="M213" s="27">
        <v>1</v>
      </c>
      <c r="N213" s="27"/>
      <c r="O213" s="27"/>
      <c r="P213" s="95" t="s">
        <v>1057</v>
      </c>
      <c r="Q213" s="27" t="s">
        <v>526</v>
      </c>
      <c r="R213" s="57" t="s">
        <v>624</v>
      </c>
      <c r="S213" s="45" t="s">
        <v>65</v>
      </c>
    </row>
    <row r="214" spans="11:18" ht="12.75">
      <c r="K214" s="27"/>
      <c r="L214" s="27"/>
      <c r="P214" s="134"/>
      <c r="Q214" s="27"/>
      <c r="R214" s="57"/>
    </row>
    <row r="215" spans="11:20" ht="12.75">
      <c r="K215" s="27"/>
      <c r="L215" s="27"/>
      <c r="M215" s="27">
        <v>3</v>
      </c>
      <c r="P215" s="95" t="s">
        <v>1053</v>
      </c>
      <c r="Q215" s="27" t="s">
        <v>625</v>
      </c>
      <c r="R215" s="57" t="s">
        <v>140</v>
      </c>
      <c r="S215" t="s">
        <v>65</v>
      </c>
      <c r="T215" s="24" t="s">
        <v>1054</v>
      </c>
    </row>
    <row r="216" spans="11:19" ht="12.75">
      <c r="K216" s="27"/>
      <c r="L216" s="27"/>
      <c r="M216" s="27">
        <v>1</v>
      </c>
      <c r="P216" s="95" t="s">
        <v>1073</v>
      </c>
      <c r="Q216" s="27" t="s">
        <v>1072</v>
      </c>
      <c r="R216" s="57" t="s">
        <v>1074</v>
      </c>
      <c r="S216" t="s">
        <v>65</v>
      </c>
    </row>
    <row r="217" spans="11:19" ht="12.75">
      <c r="K217" s="27"/>
      <c r="L217" s="27"/>
      <c r="M217" s="27">
        <v>1</v>
      </c>
      <c r="P217" s="95" t="s">
        <v>1055</v>
      </c>
      <c r="Q217" s="27" t="s">
        <v>160</v>
      </c>
      <c r="R217" s="57" t="s">
        <v>1040</v>
      </c>
      <c r="S217" t="s">
        <v>65</v>
      </c>
    </row>
    <row r="218" spans="11:19" ht="12.75">
      <c r="K218" s="27"/>
      <c r="L218" s="27"/>
      <c r="M218" s="130">
        <v>2</v>
      </c>
      <c r="N218" s="130"/>
      <c r="O218" s="130"/>
      <c r="P218" s="131" t="s">
        <v>1039</v>
      </c>
      <c r="Q218" s="130" t="s">
        <v>1041</v>
      </c>
      <c r="R218" s="131" t="s">
        <v>1042</v>
      </c>
      <c r="S218" s="17" t="s">
        <v>65</v>
      </c>
    </row>
    <row r="219" spans="11:18" ht="12.75">
      <c r="K219" s="27"/>
      <c r="L219" s="27"/>
      <c r="M219" s="27"/>
      <c r="N219" s="27"/>
      <c r="O219" s="27"/>
      <c r="P219" s="96"/>
      <c r="Q219" s="27"/>
      <c r="R219" s="57"/>
    </row>
    <row r="220" spans="11:17" ht="12.75">
      <c r="K220" s="27"/>
      <c r="L220" s="27"/>
      <c r="M220" s="27" t="s">
        <v>496</v>
      </c>
      <c r="N220" s="27" t="s">
        <v>496</v>
      </c>
      <c r="P220" s="95" t="s">
        <v>1058</v>
      </c>
      <c r="Q220" s="133" t="s">
        <v>430</v>
      </c>
    </row>
    <row r="221" spans="11:17" ht="12.75">
      <c r="K221" s="27"/>
      <c r="L221" s="27"/>
      <c r="M221" s="27" t="s">
        <v>496</v>
      </c>
      <c r="P221" s="95" t="s">
        <v>1059</v>
      </c>
      <c r="Q221" s="133" t="s">
        <v>431</v>
      </c>
    </row>
    <row r="222" spans="11:17" ht="12.75">
      <c r="K222" s="27"/>
      <c r="L222" s="27"/>
      <c r="P222" s="8"/>
      <c r="Q222" s="8"/>
    </row>
    <row r="223" spans="11:19" ht="12.75">
      <c r="K223" s="27"/>
      <c r="L223" s="27"/>
      <c r="M223" s="27" t="s">
        <v>496</v>
      </c>
      <c r="N223" s="27" t="s">
        <v>496</v>
      </c>
      <c r="P223" s="95" t="s">
        <v>102</v>
      </c>
      <c r="Q223" s="133" t="s">
        <v>89</v>
      </c>
      <c r="S223" t="s">
        <v>385</v>
      </c>
    </row>
    <row r="224" spans="11:19" ht="12.75">
      <c r="K224" s="27"/>
      <c r="L224" s="27"/>
      <c r="M224" s="27" t="s">
        <v>496</v>
      </c>
      <c r="N224" s="27" t="s">
        <v>496</v>
      </c>
      <c r="P224" s="95" t="s">
        <v>103</v>
      </c>
      <c r="Q224" s="133" t="s">
        <v>90</v>
      </c>
      <c r="S224" t="s">
        <v>385</v>
      </c>
    </row>
    <row r="225" spans="9:19" ht="12.75">
      <c r="I225" s="1" t="s">
        <v>864</v>
      </c>
      <c r="K225" s="27"/>
      <c r="L225" s="27"/>
      <c r="M225" s="27" t="s">
        <v>496</v>
      </c>
      <c r="N225" s="27" t="s">
        <v>496</v>
      </c>
      <c r="P225" s="95" t="s">
        <v>103</v>
      </c>
      <c r="Q225" s="133" t="s">
        <v>91</v>
      </c>
      <c r="S225" t="s">
        <v>385</v>
      </c>
    </row>
    <row r="226" spans="11:19" ht="12.75">
      <c r="K226" s="27"/>
      <c r="L226" s="27"/>
      <c r="M226" s="27" t="s">
        <v>496</v>
      </c>
      <c r="N226" s="27" t="s">
        <v>496</v>
      </c>
      <c r="O226" s="27"/>
      <c r="P226" s="95" t="s">
        <v>635</v>
      </c>
      <c r="Q226" s="133" t="s">
        <v>1060</v>
      </c>
      <c r="R226" s="57"/>
      <c r="S226" t="s">
        <v>385</v>
      </c>
    </row>
    <row r="227" spans="11:19" ht="12.75">
      <c r="K227" s="27"/>
      <c r="L227" s="27"/>
      <c r="M227" s="130">
        <v>2</v>
      </c>
      <c r="N227" s="130"/>
      <c r="O227" s="130"/>
      <c r="P227" s="131" t="s">
        <v>1039</v>
      </c>
      <c r="Q227" s="130" t="s">
        <v>1043</v>
      </c>
      <c r="R227" s="131"/>
      <c r="S227" s="17" t="s">
        <v>385</v>
      </c>
    </row>
    <row r="228" spans="11:19" ht="12.75">
      <c r="K228" s="27"/>
      <c r="L228" s="27"/>
      <c r="M228" s="130">
        <v>2</v>
      </c>
      <c r="N228" s="130">
        <v>3</v>
      </c>
      <c r="O228" s="130"/>
      <c r="P228" s="131" t="s">
        <v>1039</v>
      </c>
      <c r="Q228" s="130" t="s">
        <v>1044</v>
      </c>
      <c r="R228" s="131"/>
      <c r="S228" s="17" t="s">
        <v>385</v>
      </c>
    </row>
    <row r="229" spans="11:19" ht="12.75">
      <c r="K229" s="27"/>
      <c r="L229" s="27"/>
      <c r="M229" s="130">
        <v>2</v>
      </c>
      <c r="N229" s="130">
        <v>3</v>
      </c>
      <c r="O229" s="130"/>
      <c r="P229" s="131" t="s">
        <v>1039</v>
      </c>
      <c r="Q229" s="130" t="s">
        <v>1045</v>
      </c>
      <c r="R229" s="17"/>
      <c r="S229" s="17" t="s">
        <v>385</v>
      </c>
    </row>
    <row r="230" spans="11:19" ht="12.75">
      <c r="K230" s="27"/>
      <c r="L230" s="27"/>
      <c r="M230" s="27" t="s">
        <v>496</v>
      </c>
      <c r="N230" s="27" t="s">
        <v>496</v>
      </c>
      <c r="O230" s="27"/>
      <c r="P230" s="95" t="s">
        <v>106</v>
      </c>
      <c r="Q230" s="39" t="s">
        <v>698</v>
      </c>
      <c r="R230" s="96"/>
      <c r="S230" t="s">
        <v>385</v>
      </c>
    </row>
    <row r="231" spans="11:12" ht="12.75">
      <c r="K231" s="27"/>
      <c r="L231" s="27"/>
    </row>
    <row r="232" spans="11:19" ht="12.75">
      <c r="K232" s="27"/>
      <c r="M232" s="27" t="s">
        <v>496</v>
      </c>
      <c r="N232" s="27" t="s">
        <v>496</v>
      </c>
      <c r="O232" s="27"/>
      <c r="P232" s="96" t="s">
        <v>105</v>
      </c>
      <c r="Q232" s="27" t="s">
        <v>437</v>
      </c>
      <c r="R232" s="96" t="s">
        <v>407</v>
      </c>
      <c r="S232" t="s">
        <v>95</v>
      </c>
    </row>
    <row r="233" spans="11:19" ht="12.75">
      <c r="K233" s="27"/>
      <c r="L233" s="27"/>
      <c r="M233" s="27">
        <v>1</v>
      </c>
      <c r="N233" s="27">
        <v>1</v>
      </c>
      <c r="P233" s="96" t="s">
        <v>104</v>
      </c>
      <c r="Q233" s="27" t="s">
        <v>610</v>
      </c>
      <c r="R233" s="96" t="s">
        <v>411</v>
      </c>
      <c r="S233" t="s">
        <v>95</v>
      </c>
    </row>
    <row r="234" spans="11:19" ht="12.75">
      <c r="K234" s="27"/>
      <c r="L234" s="27"/>
      <c r="M234" s="130">
        <v>1</v>
      </c>
      <c r="N234" s="130">
        <v>1</v>
      </c>
      <c r="O234" s="17"/>
      <c r="P234" s="131" t="s">
        <v>1039</v>
      </c>
      <c r="Q234" s="130" t="s">
        <v>438</v>
      </c>
      <c r="R234" s="131" t="s">
        <v>411</v>
      </c>
      <c r="S234" s="17" t="s">
        <v>95</v>
      </c>
    </row>
    <row r="235" spans="11:12" ht="12.75">
      <c r="K235" s="27"/>
      <c r="L235" s="27"/>
    </row>
    <row r="236" spans="11:19" ht="12.75">
      <c r="K236" s="27"/>
      <c r="L236" s="27"/>
      <c r="M236" s="130">
        <v>1</v>
      </c>
      <c r="N236" s="130" t="s">
        <v>1046</v>
      </c>
      <c r="O236" s="17"/>
      <c r="P236" s="131" t="s">
        <v>1039</v>
      </c>
      <c r="Q236" s="130" t="s">
        <v>314</v>
      </c>
      <c r="R236" s="131" t="s">
        <v>411</v>
      </c>
      <c r="S236" s="17" t="s">
        <v>315</v>
      </c>
    </row>
    <row r="237" spans="11:19" ht="12.75">
      <c r="K237" s="27"/>
      <c r="L237" s="27"/>
      <c r="M237" s="130">
        <v>2</v>
      </c>
      <c r="N237" s="130" t="s">
        <v>1046</v>
      </c>
      <c r="O237" s="17"/>
      <c r="P237" s="131" t="s">
        <v>1039</v>
      </c>
      <c r="Q237" s="130" t="s">
        <v>992</v>
      </c>
      <c r="R237" s="131" t="s">
        <v>407</v>
      </c>
      <c r="S237" s="17" t="s">
        <v>315</v>
      </c>
    </row>
    <row r="238" spans="11:12" ht="12.75">
      <c r="K238" s="27"/>
      <c r="L238" s="27"/>
    </row>
    <row r="239" spans="13:19" ht="12.75">
      <c r="M239" s="27" t="s">
        <v>496</v>
      </c>
      <c r="N239" s="27" t="s">
        <v>496</v>
      </c>
      <c r="P239" s="96" t="s">
        <v>93</v>
      </c>
      <c r="Q239" s="27" t="s">
        <v>388</v>
      </c>
      <c r="R239" s="96" t="s">
        <v>94</v>
      </c>
      <c r="S239" s="45" t="s">
        <v>798</v>
      </c>
    </row>
    <row r="240" spans="13:19" ht="12.75">
      <c r="M240" s="27" t="s">
        <v>496</v>
      </c>
      <c r="N240" s="27"/>
      <c r="P240" s="96" t="s">
        <v>1062</v>
      </c>
      <c r="Q240" s="27" t="s">
        <v>1067</v>
      </c>
      <c r="R240" s="96" t="s">
        <v>1063</v>
      </c>
      <c r="S240" s="45" t="s">
        <v>798</v>
      </c>
    </row>
    <row r="241" spans="13:19" ht="12.75">
      <c r="M241" s="27" t="s">
        <v>496</v>
      </c>
      <c r="P241" s="96" t="s">
        <v>1064</v>
      </c>
      <c r="Q241" s="27" t="s">
        <v>1066</v>
      </c>
      <c r="R241" s="96" t="s">
        <v>1063</v>
      </c>
      <c r="S241" s="45" t="s">
        <v>798</v>
      </c>
    </row>
    <row r="242" spans="13:19" ht="12.75">
      <c r="M242" s="27" t="s">
        <v>496</v>
      </c>
      <c r="P242" s="96" t="s">
        <v>1068</v>
      </c>
      <c r="Q242" s="27" t="s">
        <v>1065</v>
      </c>
      <c r="R242" s="96" t="s">
        <v>94</v>
      </c>
      <c r="S242" s="45" t="s">
        <v>798</v>
      </c>
    </row>
    <row r="244" spans="13:19" ht="12.75">
      <c r="M244" s="27">
        <v>3</v>
      </c>
      <c r="N244" s="27">
        <v>3</v>
      </c>
      <c r="O244" s="27"/>
      <c r="P244" s="96" t="s">
        <v>100</v>
      </c>
      <c r="Q244" s="27" t="s">
        <v>735</v>
      </c>
      <c r="R244" s="96" t="s">
        <v>407</v>
      </c>
      <c r="S244" s="34" t="s">
        <v>611</v>
      </c>
    </row>
    <row r="245" spans="13:19" ht="12.75">
      <c r="M245" s="27">
        <v>1</v>
      </c>
      <c r="N245" s="27">
        <v>1</v>
      </c>
      <c r="O245" s="27"/>
      <c r="P245" s="96" t="s">
        <v>107</v>
      </c>
      <c r="Q245" s="27" t="s">
        <v>64</v>
      </c>
      <c r="R245" s="96" t="s">
        <v>411</v>
      </c>
      <c r="S245" s="34" t="s">
        <v>611</v>
      </c>
    </row>
    <row r="247" spans="13:21" ht="12.75">
      <c r="M247" s="27"/>
      <c r="N247" s="27"/>
      <c r="O247" s="27">
        <v>1</v>
      </c>
      <c r="P247" s="95" t="s">
        <v>1052</v>
      </c>
      <c r="Q247" s="27"/>
      <c r="R247" s="96" t="s">
        <v>87</v>
      </c>
      <c r="S247" s="34" t="s">
        <v>416</v>
      </c>
      <c r="T247" t="s">
        <v>1069</v>
      </c>
      <c r="U247" s="128" t="s">
        <v>1050</v>
      </c>
    </row>
    <row r="248" spans="13:21" ht="12.75">
      <c r="M248" s="27"/>
      <c r="N248" s="27">
        <v>1</v>
      </c>
      <c r="O248" s="27"/>
      <c r="P248" s="95" t="s">
        <v>1051</v>
      </c>
      <c r="Q248" s="57"/>
      <c r="R248" s="96" t="s">
        <v>88</v>
      </c>
      <c r="S248" s="34" t="s">
        <v>416</v>
      </c>
      <c r="T248" t="s">
        <v>1070</v>
      </c>
      <c r="U248" s="128" t="s">
        <v>1050</v>
      </c>
    </row>
    <row r="249" spans="14:21" ht="12.75">
      <c r="N249" s="27">
        <v>1</v>
      </c>
      <c r="P249" s="95" t="s">
        <v>1049</v>
      </c>
      <c r="R249" s="96" t="s">
        <v>423</v>
      </c>
      <c r="S249" s="34" t="s">
        <v>416</v>
      </c>
      <c r="T249" t="s">
        <v>1071</v>
      </c>
      <c r="U249" s="128" t="s">
        <v>1050</v>
      </c>
    </row>
    <row r="251" spans="13:19" ht="12.75">
      <c r="M251" s="130">
        <v>1</v>
      </c>
      <c r="N251" s="130"/>
      <c r="O251" s="130">
        <v>1</v>
      </c>
      <c r="P251" s="131" t="s">
        <v>99</v>
      </c>
      <c r="Q251" s="130" t="s">
        <v>98</v>
      </c>
      <c r="R251" s="17"/>
      <c r="S251" s="132" t="s">
        <v>804</v>
      </c>
    </row>
    <row r="252" spans="13:19" ht="12.75">
      <c r="M252" s="130">
        <v>1</v>
      </c>
      <c r="N252" s="130"/>
      <c r="O252" s="130">
        <v>1</v>
      </c>
      <c r="P252" s="131" t="s">
        <v>1048</v>
      </c>
      <c r="Q252" s="130" t="s">
        <v>1047</v>
      </c>
      <c r="R252" s="131"/>
      <c r="S252" s="132" t="s">
        <v>804</v>
      </c>
    </row>
    <row r="259" spans="13:18" ht="12.75">
      <c r="M259" s="27"/>
      <c r="N259" s="27"/>
      <c r="O259" s="27"/>
      <c r="P259" s="96"/>
      <c r="Q259" s="27"/>
      <c r="R259" s="9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22"/>
  <sheetViews>
    <sheetView workbookViewId="0" topLeftCell="H103">
      <selection activeCell="R124" sqref="R124"/>
    </sheetView>
  </sheetViews>
  <sheetFormatPr defaultColWidth="9.140625" defaultRowHeight="12.75"/>
  <cols>
    <col min="1" max="10" width="10.421875" style="0" customWidth="1"/>
    <col min="11" max="14" width="11.8515625" style="0" customWidth="1"/>
    <col min="15" max="15" width="11.57421875" style="0" customWidth="1"/>
    <col min="16" max="16" width="11.8515625" style="0" customWidth="1"/>
    <col min="17" max="18" width="11.57421875" style="0" customWidth="1"/>
    <col min="19" max="24" width="10.421875" style="0" customWidth="1"/>
    <col min="25" max="25" width="10.00390625" style="0" customWidth="1"/>
    <col min="26" max="27" width="10.421875" style="0" customWidth="1"/>
    <col min="28" max="28" width="10.00390625" style="0" customWidth="1"/>
    <col min="29" max="30" width="10.421875" style="0" customWidth="1"/>
    <col min="31" max="31" width="2.7109375" style="0" customWidth="1"/>
    <col min="32" max="35" width="10.421875" style="0" customWidth="1"/>
    <col min="36" max="36" width="11.7109375" style="0" customWidth="1"/>
    <col min="37" max="43" width="10.421875" style="0" customWidth="1"/>
    <col min="44" max="44" width="2.57421875" style="0" customWidth="1"/>
    <col min="45" max="45" width="11.00390625" style="0" customWidth="1"/>
    <col min="46" max="46" width="10.8515625" style="0" customWidth="1"/>
    <col min="47" max="47" width="11.00390625" style="0" customWidth="1"/>
    <col min="48" max="16384" width="10.421875" style="0" customWidth="1"/>
  </cols>
  <sheetData>
    <row r="1" spans="1:47" ht="12.75">
      <c r="A1" s="1" t="s">
        <v>699</v>
      </c>
      <c r="B1" t="s">
        <v>743</v>
      </c>
      <c r="C1" s="8" t="s">
        <v>719</v>
      </c>
      <c r="D1" s="3" t="s">
        <v>700</v>
      </c>
      <c r="E1" t="s">
        <v>743</v>
      </c>
      <c r="F1" s="8" t="s">
        <v>719</v>
      </c>
      <c r="G1" s="3" t="s">
        <v>701</v>
      </c>
      <c r="H1" t="s">
        <v>743</v>
      </c>
      <c r="I1" s="8" t="s">
        <v>719</v>
      </c>
      <c r="J1" s="3" t="s">
        <v>702</v>
      </c>
      <c r="K1" t="s">
        <v>743</v>
      </c>
      <c r="L1" s="8" t="s">
        <v>719</v>
      </c>
      <c r="M1" s="3" t="s">
        <v>706</v>
      </c>
      <c r="N1" t="s">
        <v>743</v>
      </c>
      <c r="O1" s="8" t="s">
        <v>719</v>
      </c>
      <c r="P1" s="3" t="s">
        <v>707</v>
      </c>
      <c r="Q1" t="s">
        <v>743</v>
      </c>
      <c r="R1" s="8" t="s">
        <v>719</v>
      </c>
      <c r="S1" s="3" t="s">
        <v>710</v>
      </c>
      <c r="T1" t="s">
        <v>743</v>
      </c>
      <c r="U1" s="8" t="s">
        <v>719</v>
      </c>
      <c r="V1" s="3" t="s">
        <v>725</v>
      </c>
      <c r="W1" t="s">
        <v>743</v>
      </c>
      <c r="X1" s="8" t="s">
        <v>719</v>
      </c>
      <c r="Y1" s="3" t="s">
        <v>724</v>
      </c>
      <c r="Z1" t="s">
        <v>743</v>
      </c>
      <c r="AA1" s="8" t="s">
        <v>719</v>
      </c>
      <c r="AB1" s="3" t="s">
        <v>864</v>
      </c>
      <c r="AC1" t="s">
        <v>743</v>
      </c>
      <c r="AD1" s="8" t="s">
        <v>719</v>
      </c>
      <c r="AF1" s="3" t="s">
        <v>714</v>
      </c>
      <c r="AG1" t="s">
        <v>743</v>
      </c>
      <c r="AH1" s="8" t="s">
        <v>719</v>
      </c>
      <c r="AI1" s="15" t="s">
        <v>711</v>
      </c>
      <c r="AJ1" t="s">
        <v>743</v>
      </c>
      <c r="AK1" s="8" t="s">
        <v>719</v>
      </c>
      <c r="AL1" s="15" t="s">
        <v>712</v>
      </c>
      <c r="AM1" t="s">
        <v>743</v>
      </c>
      <c r="AN1" s="8" t="s">
        <v>719</v>
      </c>
      <c r="AO1" s="15" t="s">
        <v>713</v>
      </c>
      <c r="AP1" t="s">
        <v>743</v>
      </c>
      <c r="AQ1" s="8" t="s">
        <v>719</v>
      </c>
      <c r="AR1" s="15"/>
      <c r="AS1" s="1" t="s">
        <v>721</v>
      </c>
      <c r="AT1" t="s">
        <v>743</v>
      </c>
      <c r="AU1" s="8" t="s">
        <v>719</v>
      </c>
    </row>
    <row r="2" spans="1:47" ht="12.75">
      <c r="A2" s="102"/>
      <c r="C2" s="8"/>
      <c r="D2" s="4"/>
      <c r="F2" s="8"/>
      <c r="G2" s="4"/>
      <c r="I2" s="8"/>
      <c r="J2" s="4"/>
      <c r="L2" s="8"/>
      <c r="M2" s="4"/>
      <c r="O2" s="8"/>
      <c r="P2" s="4"/>
      <c r="R2" s="8"/>
      <c r="S2" s="4"/>
      <c r="U2" s="8"/>
      <c r="V2" s="4"/>
      <c r="X2" s="8"/>
      <c r="Y2" s="4"/>
      <c r="AA2" s="8"/>
      <c r="AB2" s="101"/>
      <c r="AK2" s="8"/>
      <c r="AL2" s="4"/>
      <c r="AN2" s="8"/>
      <c r="AO2" s="4"/>
      <c r="AQ2" s="8"/>
      <c r="AR2" s="4"/>
      <c r="AS2" s="24" t="s">
        <v>722</v>
      </c>
      <c r="AU2" s="8"/>
    </row>
    <row r="3" spans="1:47" ht="12.75">
      <c r="A3" s="8">
        <v>0</v>
      </c>
      <c r="B3" s="8"/>
      <c r="C3" s="7">
        <f aca="true" t="shared" si="0" ref="C3:C19">B3*1.688</f>
        <v>0</v>
      </c>
      <c r="D3" s="8">
        <v>0</v>
      </c>
      <c r="E3" s="8"/>
      <c r="F3" s="7">
        <f>E3*1.688</f>
        <v>0</v>
      </c>
      <c r="G3" s="8">
        <v>0</v>
      </c>
      <c r="H3" s="7"/>
      <c r="I3" s="7">
        <f aca="true" t="shared" si="1" ref="I3:I12">H3*1.688</f>
        <v>0</v>
      </c>
      <c r="J3" s="8">
        <v>0</v>
      </c>
      <c r="K3" s="56"/>
      <c r="L3" s="7">
        <f aca="true" t="shared" si="2" ref="L3:L11">K3*1.688</f>
        <v>0</v>
      </c>
      <c r="M3" s="8">
        <v>0</v>
      </c>
      <c r="N3" s="7"/>
      <c r="O3" s="7">
        <f aca="true" t="shared" si="3" ref="O3:O9">N3*1.688</f>
        <v>0</v>
      </c>
      <c r="P3" s="8">
        <v>0</v>
      </c>
      <c r="Q3" s="7"/>
      <c r="R3" s="7">
        <f aca="true" t="shared" si="4" ref="R3:R9">Q3*1.688</f>
        <v>0</v>
      </c>
      <c r="S3" s="8">
        <v>0</v>
      </c>
      <c r="T3" s="56"/>
      <c r="U3" s="7">
        <f>T3*1.688</f>
        <v>0</v>
      </c>
      <c r="V3" s="8">
        <v>0</v>
      </c>
      <c r="W3" s="56"/>
      <c r="X3" s="7">
        <f>W3*1.688</f>
        <v>0</v>
      </c>
      <c r="Y3" s="8">
        <v>0</v>
      </c>
      <c r="Z3" s="7"/>
      <c r="AA3" s="7">
        <f>Z3*1.688</f>
        <v>0</v>
      </c>
      <c r="AB3" s="8">
        <v>0</v>
      </c>
      <c r="AC3" s="7"/>
      <c r="AD3" s="7">
        <f>AC3*1.688</f>
        <v>0</v>
      </c>
      <c r="AF3" s="8">
        <v>0</v>
      </c>
      <c r="AG3" s="7">
        <f>B3-10</f>
        <v>-10</v>
      </c>
      <c r="AH3" s="7">
        <f aca="true" t="shared" si="5" ref="AH3:AH19">AG3*1.688</f>
        <v>-16.88</v>
      </c>
      <c r="AI3" s="8">
        <v>0</v>
      </c>
      <c r="AJ3" s="78"/>
      <c r="AK3" s="7">
        <f>AJ3*1.688</f>
        <v>0</v>
      </c>
      <c r="AL3" s="8">
        <v>0</v>
      </c>
      <c r="AM3" s="78"/>
      <c r="AN3" s="7">
        <f aca="true" t="shared" si="6" ref="AN3:AN13">AM3*1.688</f>
        <v>0</v>
      </c>
      <c r="AO3" s="8">
        <v>0</v>
      </c>
      <c r="AP3" s="78"/>
      <c r="AQ3" s="7">
        <f aca="true" t="shared" si="7" ref="AQ3:AQ12">AP3*1.688</f>
        <v>0</v>
      </c>
      <c r="AR3" s="8"/>
      <c r="AS3" s="8">
        <v>0</v>
      </c>
      <c r="AT3" s="8"/>
      <c r="AU3" s="7"/>
    </row>
    <row r="4" spans="1:47" ht="12.75">
      <c r="A4" s="6">
        <v>10000</v>
      </c>
      <c r="B4" s="33"/>
      <c r="C4" s="7">
        <f t="shared" si="0"/>
        <v>0</v>
      </c>
      <c r="D4" s="6">
        <v>10000</v>
      </c>
      <c r="E4" s="38"/>
      <c r="F4" s="7">
        <f aca="true" t="shared" si="8" ref="F4:F13">E4*1.688</f>
        <v>0</v>
      </c>
      <c r="G4" s="6">
        <v>10000</v>
      </c>
      <c r="H4" s="38"/>
      <c r="I4" s="7">
        <f t="shared" si="1"/>
        <v>0</v>
      </c>
      <c r="J4" s="6">
        <v>10000</v>
      </c>
      <c r="K4" s="51"/>
      <c r="L4" s="7">
        <f t="shared" si="2"/>
        <v>0</v>
      </c>
      <c r="M4" s="6">
        <v>10000</v>
      </c>
      <c r="N4" s="51"/>
      <c r="O4" s="7">
        <f t="shared" si="3"/>
        <v>0</v>
      </c>
      <c r="P4" s="6">
        <v>10000</v>
      </c>
      <c r="Q4" s="51"/>
      <c r="R4" s="7">
        <f t="shared" si="4"/>
        <v>0</v>
      </c>
      <c r="S4" s="6">
        <v>10000</v>
      </c>
      <c r="T4" s="51"/>
      <c r="U4" s="7">
        <f>T4*1.688</f>
        <v>0</v>
      </c>
      <c r="V4" s="6">
        <v>10000</v>
      </c>
      <c r="W4" s="51"/>
      <c r="X4" s="7">
        <f>W4*1.688</f>
        <v>0</v>
      </c>
      <c r="Y4" s="115">
        <v>9400</v>
      </c>
      <c r="Z4" s="54"/>
      <c r="AA4" s="7">
        <f>Z4*1.688</f>
        <v>0</v>
      </c>
      <c r="AB4" s="116">
        <v>4100</v>
      </c>
      <c r="AC4" s="112"/>
      <c r="AD4" s="7">
        <f>AC4*1.688</f>
        <v>0</v>
      </c>
      <c r="AF4" s="6">
        <v>10000</v>
      </c>
      <c r="AG4" s="7">
        <f aca="true" t="shared" si="9" ref="AG4:AG9">B4-10</f>
        <v>-10</v>
      </c>
      <c r="AH4" s="7">
        <f t="shared" si="5"/>
        <v>-16.88</v>
      </c>
      <c r="AI4" s="6">
        <v>10000</v>
      </c>
      <c r="AJ4" s="78"/>
      <c r="AK4" s="7">
        <f aca="true" t="shared" si="10" ref="AK4:AK19">AJ4*1.688</f>
        <v>0</v>
      </c>
      <c r="AL4" s="6">
        <v>10000</v>
      </c>
      <c r="AM4" s="78"/>
      <c r="AN4" s="7">
        <f t="shared" si="6"/>
        <v>0</v>
      </c>
      <c r="AO4" s="6">
        <v>10000</v>
      </c>
      <c r="AP4" s="78"/>
      <c r="AQ4" s="7">
        <f t="shared" si="7"/>
        <v>0</v>
      </c>
      <c r="AR4" s="6"/>
      <c r="AS4" s="6">
        <v>10000</v>
      </c>
      <c r="AT4" s="33"/>
      <c r="AU4" s="7"/>
    </row>
    <row r="5" spans="1:47" ht="12.75">
      <c r="A5" s="6">
        <v>20000</v>
      </c>
      <c r="B5" s="33"/>
      <c r="C5" s="7">
        <f t="shared" si="0"/>
        <v>0</v>
      </c>
      <c r="D5" s="6">
        <v>20000</v>
      </c>
      <c r="E5" s="52"/>
      <c r="F5" s="7">
        <f t="shared" si="8"/>
        <v>0</v>
      </c>
      <c r="G5" s="6">
        <v>20000</v>
      </c>
      <c r="H5" s="52"/>
      <c r="I5" s="7">
        <f t="shared" si="1"/>
        <v>0</v>
      </c>
      <c r="J5" s="6">
        <v>20000</v>
      </c>
      <c r="K5" s="52"/>
      <c r="L5" s="7">
        <f t="shared" si="2"/>
        <v>0</v>
      </c>
      <c r="M5" s="6">
        <v>20000</v>
      </c>
      <c r="N5" s="52"/>
      <c r="O5" s="7">
        <f t="shared" si="3"/>
        <v>0</v>
      </c>
      <c r="P5" s="6">
        <v>20000</v>
      </c>
      <c r="Q5" s="52"/>
      <c r="R5" s="7">
        <f t="shared" si="4"/>
        <v>0</v>
      </c>
      <c r="S5" s="6">
        <v>17500</v>
      </c>
      <c r="T5" s="54"/>
      <c r="U5" s="7">
        <f>T5*1.688</f>
        <v>0</v>
      </c>
      <c r="V5" s="6">
        <v>13200</v>
      </c>
      <c r="W5" s="54"/>
      <c r="X5" s="7">
        <f>W5*1.688</f>
        <v>0</v>
      </c>
      <c r="Y5" s="8">
        <v>0</v>
      </c>
      <c r="Z5" s="51"/>
      <c r="AA5" s="7">
        <f>Z5*1.688</f>
        <v>0</v>
      </c>
      <c r="AB5" s="8">
        <v>0</v>
      </c>
      <c r="AC5" s="56"/>
      <c r="AD5" s="7">
        <f>AC5*1.688</f>
        <v>0</v>
      </c>
      <c r="AF5" s="6">
        <v>20000</v>
      </c>
      <c r="AG5" s="7">
        <f t="shared" si="9"/>
        <v>-10</v>
      </c>
      <c r="AH5" s="7">
        <f t="shared" si="5"/>
        <v>-16.88</v>
      </c>
      <c r="AI5" s="6">
        <v>20000</v>
      </c>
      <c r="AJ5" s="78"/>
      <c r="AK5" s="7">
        <f t="shared" si="10"/>
        <v>0</v>
      </c>
      <c r="AL5" s="6">
        <v>20000</v>
      </c>
      <c r="AM5" s="78"/>
      <c r="AN5" s="7">
        <f t="shared" si="6"/>
        <v>0</v>
      </c>
      <c r="AO5" s="6">
        <v>20000</v>
      </c>
      <c r="AP5" s="78"/>
      <c r="AQ5" s="7">
        <f t="shared" si="7"/>
        <v>0</v>
      </c>
      <c r="AR5" s="6"/>
      <c r="AS5" s="6">
        <v>20000</v>
      </c>
      <c r="AT5" s="33"/>
      <c r="AU5" s="7"/>
    </row>
    <row r="6" spans="1:47" ht="12.75">
      <c r="A6" s="21">
        <v>30000</v>
      </c>
      <c r="B6" s="33"/>
      <c r="C6" s="7">
        <f t="shared" si="0"/>
        <v>0</v>
      </c>
      <c r="D6" s="21">
        <v>30000</v>
      </c>
      <c r="E6" s="38"/>
      <c r="F6" s="7">
        <f t="shared" si="8"/>
        <v>0</v>
      </c>
      <c r="G6" s="21">
        <v>30000</v>
      </c>
      <c r="H6" s="38"/>
      <c r="I6" s="7">
        <f t="shared" si="1"/>
        <v>0</v>
      </c>
      <c r="J6" s="21">
        <v>30000</v>
      </c>
      <c r="K6" s="51"/>
      <c r="L6" s="7">
        <f t="shared" si="2"/>
        <v>0</v>
      </c>
      <c r="M6" s="21">
        <v>27000</v>
      </c>
      <c r="N6" s="54"/>
      <c r="O6" s="7">
        <f t="shared" si="3"/>
        <v>0</v>
      </c>
      <c r="P6" s="21">
        <v>21000</v>
      </c>
      <c r="Q6" s="54"/>
      <c r="R6" s="7">
        <f t="shared" si="4"/>
        <v>0</v>
      </c>
      <c r="S6" s="6">
        <v>10000</v>
      </c>
      <c r="T6" s="51"/>
      <c r="U6" s="7">
        <f>T6*1.688</f>
        <v>0</v>
      </c>
      <c r="V6" s="6">
        <v>10000</v>
      </c>
      <c r="W6" s="51"/>
      <c r="X6" s="7">
        <f>W6*1.688</f>
        <v>0</v>
      </c>
      <c r="Y6" s="6"/>
      <c r="Z6" s="51"/>
      <c r="AA6" s="7"/>
      <c r="AB6" s="6"/>
      <c r="AC6" s="7"/>
      <c r="AD6" s="7"/>
      <c r="AF6" s="21">
        <v>30000</v>
      </c>
      <c r="AG6" s="7">
        <f t="shared" si="9"/>
        <v>-10</v>
      </c>
      <c r="AH6" s="7">
        <f t="shared" si="5"/>
        <v>-16.88</v>
      </c>
      <c r="AI6" s="21">
        <v>30000</v>
      </c>
      <c r="AJ6" s="78"/>
      <c r="AK6" s="7">
        <f t="shared" si="10"/>
        <v>0</v>
      </c>
      <c r="AL6" s="21">
        <v>30000</v>
      </c>
      <c r="AM6" s="78"/>
      <c r="AN6" s="7">
        <f t="shared" si="6"/>
        <v>0</v>
      </c>
      <c r="AO6" s="21">
        <v>30000</v>
      </c>
      <c r="AP6" s="78"/>
      <c r="AQ6" s="7">
        <f t="shared" si="7"/>
        <v>0</v>
      </c>
      <c r="AR6" s="21"/>
      <c r="AS6" s="21">
        <v>30000</v>
      </c>
      <c r="AT6" s="33"/>
      <c r="AU6" s="7"/>
    </row>
    <row r="7" spans="1:47" ht="12.75">
      <c r="A7" s="13">
        <v>40000</v>
      </c>
      <c r="B7" s="52"/>
      <c r="C7" s="7">
        <f t="shared" si="0"/>
        <v>0</v>
      </c>
      <c r="D7" s="13">
        <v>40000</v>
      </c>
      <c r="E7" s="52"/>
      <c r="F7" s="7">
        <f t="shared" si="8"/>
        <v>0</v>
      </c>
      <c r="G7" s="13">
        <v>38500</v>
      </c>
      <c r="H7" s="112"/>
      <c r="I7" s="7">
        <f t="shared" si="1"/>
        <v>0</v>
      </c>
      <c r="J7" s="13">
        <v>32000</v>
      </c>
      <c r="K7" s="54"/>
      <c r="L7" s="7">
        <f t="shared" si="2"/>
        <v>0</v>
      </c>
      <c r="M7" s="13">
        <v>20000</v>
      </c>
      <c r="N7" s="33"/>
      <c r="O7" s="7">
        <f t="shared" si="3"/>
        <v>0</v>
      </c>
      <c r="P7" s="13">
        <v>20000</v>
      </c>
      <c r="Q7" s="33"/>
      <c r="R7" s="7">
        <f t="shared" si="4"/>
        <v>0</v>
      </c>
      <c r="S7" s="8">
        <v>0</v>
      </c>
      <c r="T7" s="54"/>
      <c r="U7" s="7">
        <f>T7*1.688</f>
        <v>0</v>
      </c>
      <c r="V7" s="8">
        <v>0</v>
      </c>
      <c r="W7" s="54"/>
      <c r="X7" s="7">
        <f>W7*1.688</f>
        <v>0</v>
      </c>
      <c r="Y7" s="6"/>
      <c r="Z7" s="51"/>
      <c r="AA7" s="7"/>
      <c r="AB7" s="6"/>
      <c r="AC7" s="7"/>
      <c r="AD7" s="7"/>
      <c r="AF7" s="13">
        <v>40000</v>
      </c>
      <c r="AG7" s="7">
        <f t="shared" si="9"/>
        <v>-10</v>
      </c>
      <c r="AH7" s="7">
        <f t="shared" si="5"/>
        <v>-16.88</v>
      </c>
      <c r="AI7" s="13">
        <v>40000</v>
      </c>
      <c r="AJ7" s="78"/>
      <c r="AK7" s="7">
        <f t="shared" si="10"/>
        <v>0</v>
      </c>
      <c r="AL7" s="13">
        <v>40000</v>
      </c>
      <c r="AM7" s="78"/>
      <c r="AN7" s="7">
        <f t="shared" si="6"/>
        <v>0</v>
      </c>
      <c r="AO7" s="13">
        <v>38500</v>
      </c>
      <c r="AP7" s="78"/>
      <c r="AQ7" s="7">
        <f t="shared" si="7"/>
        <v>0</v>
      </c>
      <c r="AR7" s="13"/>
      <c r="AS7" s="13">
        <v>40000</v>
      </c>
      <c r="AT7" s="52"/>
      <c r="AU7" s="7"/>
    </row>
    <row r="8" spans="1:47" ht="12.75">
      <c r="A8" s="13">
        <v>50000</v>
      </c>
      <c r="B8" s="111"/>
      <c r="C8" s="7">
        <f t="shared" si="0"/>
        <v>0</v>
      </c>
      <c r="D8" s="13">
        <v>48000</v>
      </c>
      <c r="E8" s="54"/>
      <c r="F8" s="7">
        <f t="shared" si="8"/>
        <v>0</v>
      </c>
      <c r="G8" s="13">
        <v>40000</v>
      </c>
      <c r="H8" s="52"/>
      <c r="I8" s="7">
        <f t="shared" si="1"/>
        <v>0</v>
      </c>
      <c r="J8" s="13">
        <v>30000</v>
      </c>
      <c r="K8" s="38"/>
      <c r="L8" s="7">
        <f t="shared" si="2"/>
        <v>0</v>
      </c>
      <c r="M8" s="13">
        <v>10000</v>
      </c>
      <c r="N8" s="52"/>
      <c r="O8" s="7">
        <f t="shared" si="3"/>
        <v>0</v>
      </c>
      <c r="P8" s="13">
        <v>10000</v>
      </c>
      <c r="Q8" s="52"/>
      <c r="R8" s="7">
        <f t="shared" si="4"/>
        <v>0</v>
      </c>
      <c r="S8" s="6"/>
      <c r="T8" s="51"/>
      <c r="U8" s="7"/>
      <c r="V8" s="6"/>
      <c r="W8" s="51"/>
      <c r="X8" s="7"/>
      <c r="Y8" s="6"/>
      <c r="Z8" s="51"/>
      <c r="AA8" s="7"/>
      <c r="AB8" s="13"/>
      <c r="AC8" s="33"/>
      <c r="AD8" s="7"/>
      <c r="AF8" s="13">
        <v>50000</v>
      </c>
      <c r="AG8" s="7">
        <f t="shared" si="9"/>
        <v>-10</v>
      </c>
      <c r="AH8" s="7">
        <f t="shared" si="5"/>
        <v>-16.88</v>
      </c>
      <c r="AI8" s="13">
        <v>50000</v>
      </c>
      <c r="AJ8" s="78"/>
      <c r="AK8" s="7">
        <f t="shared" si="10"/>
        <v>0</v>
      </c>
      <c r="AL8" s="13">
        <v>48000</v>
      </c>
      <c r="AM8" s="112"/>
      <c r="AN8" s="7">
        <f t="shared" si="6"/>
        <v>0</v>
      </c>
      <c r="AO8" s="13">
        <v>40000</v>
      </c>
      <c r="AP8" s="78"/>
      <c r="AQ8" s="7">
        <f t="shared" si="7"/>
        <v>0</v>
      </c>
      <c r="AR8" s="13"/>
      <c r="AS8" s="13">
        <v>50000</v>
      </c>
      <c r="AT8" s="111"/>
      <c r="AU8" s="7"/>
    </row>
    <row r="9" spans="1:47" ht="12.75">
      <c r="A9" s="13">
        <v>60000</v>
      </c>
      <c r="B9" s="111"/>
      <c r="C9" s="7">
        <f t="shared" si="0"/>
        <v>0</v>
      </c>
      <c r="D9" s="13">
        <v>40000</v>
      </c>
      <c r="E9" s="33"/>
      <c r="F9" s="7">
        <f t="shared" si="8"/>
        <v>0</v>
      </c>
      <c r="G9" s="13">
        <v>30000</v>
      </c>
      <c r="H9" s="33"/>
      <c r="I9" s="7">
        <f t="shared" si="1"/>
        <v>0</v>
      </c>
      <c r="J9" s="13">
        <v>20000</v>
      </c>
      <c r="K9" s="51"/>
      <c r="L9" s="7">
        <f t="shared" si="2"/>
        <v>0</v>
      </c>
      <c r="M9" s="100">
        <v>0</v>
      </c>
      <c r="N9" s="56"/>
      <c r="O9" s="7">
        <f t="shared" si="3"/>
        <v>0</v>
      </c>
      <c r="P9" s="100">
        <v>0</v>
      </c>
      <c r="Q9" s="56"/>
      <c r="R9" s="7">
        <f t="shared" si="4"/>
        <v>0</v>
      </c>
      <c r="S9" s="21"/>
      <c r="T9" s="51"/>
      <c r="U9" s="7"/>
      <c r="V9" s="21"/>
      <c r="W9" s="51"/>
      <c r="X9" s="7"/>
      <c r="Y9" s="21"/>
      <c r="Z9" s="2"/>
      <c r="AA9" s="7"/>
      <c r="AB9" s="20"/>
      <c r="AC9" s="33"/>
      <c r="AD9" s="7"/>
      <c r="AF9" s="13">
        <v>60000</v>
      </c>
      <c r="AG9" s="7">
        <f t="shared" si="9"/>
        <v>-10</v>
      </c>
      <c r="AH9" s="7">
        <f t="shared" si="5"/>
        <v>-16.88</v>
      </c>
      <c r="AI9" s="13">
        <v>60000</v>
      </c>
      <c r="AJ9" s="78"/>
      <c r="AK9" s="7">
        <f t="shared" si="10"/>
        <v>0</v>
      </c>
      <c r="AL9" s="13">
        <v>40000</v>
      </c>
      <c r="AM9" s="78"/>
      <c r="AN9" s="7">
        <f t="shared" si="6"/>
        <v>0</v>
      </c>
      <c r="AO9" s="13">
        <v>30000</v>
      </c>
      <c r="AP9" s="78"/>
      <c r="AQ9" s="7">
        <f t="shared" si="7"/>
        <v>0</v>
      </c>
      <c r="AR9" s="13"/>
      <c r="AS9" s="13">
        <v>60000</v>
      </c>
      <c r="AT9" s="111"/>
      <c r="AU9" s="7"/>
    </row>
    <row r="10" spans="1:47" ht="12.75">
      <c r="A10" s="13">
        <v>62000</v>
      </c>
      <c r="B10" s="55"/>
      <c r="C10" s="7">
        <f t="shared" si="0"/>
        <v>0</v>
      </c>
      <c r="D10" s="13">
        <v>30000</v>
      </c>
      <c r="E10" s="33"/>
      <c r="F10" s="7">
        <f t="shared" si="8"/>
        <v>0</v>
      </c>
      <c r="G10" s="13">
        <v>20000</v>
      </c>
      <c r="H10" s="33"/>
      <c r="I10" s="7">
        <f t="shared" si="1"/>
        <v>0</v>
      </c>
      <c r="J10" s="13">
        <v>10000</v>
      </c>
      <c r="K10" s="51"/>
      <c r="L10" s="7">
        <f t="shared" si="2"/>
        <v>0</v>
      </c>
      <c r="N10" s="51"/>
      <c r="O10" s="7"/>
      <c r="P10" s="13"/>
      <c r="Q10" s="51"/>
      <c r="R10" s="7"/>
      <c r="S10" s="13"/>
      <c r="T10" s="51"/>
      <c r="U10" s="7"/>
      <c r="V10" s="21"/>
      <c r="W10" s="2"/>
      <c r="X10" s="7"/>
      <c r="Y10" s="20"/>
      <c r="Z10" s="33"/>
      <c r="AA10" s="7"/>
      <c r="AB10" s="13"/>
      <c r="AC10" s="33"/>
      <c r="AD10" s="7"/>
      <c r="AF10" s="13">
        <v>63000</v>
      </c>
      <c r="AG10" s="7">
        <f>B10+10</f>
        <v>10</v>
      </c>
      <c r="AH10" s="7">
        <f t="shared" si="5"/>
        <v>16.88</v>
      </c>
      <c r="AI10" s="13">
        <v>62000</v>
      </c>
      <c r="AJ10" s="112"/>
      <c r="AK10" s="7">
        <f t="shared" si="10"/>
        <v>0</v>
      </c>
      <c r="AL10" s="13">
        <v>30000</v>
      </c>
      <c r="AM10" s="78"/>
      <c r="AN10" s="7">
        <f t="shared" si="6"/>
        <v>0</v>
      </c>
      <c r="AO10" s="13">
        <v>20000</v>
      </c>
      <c r="AP10" s="78"/>
      <c r="AQ10" s="7">
        <f t="shared" si="7"/>
        <v>0</v>
      </c>
      <c r="AR10" s="13"/>
      <c r="AS10" s="13">
        <v>62000</v>
      </c>
      <c r="AT10" s="55"/>
      <c r="AU10" s="7"/>
    </row>
    <row r="11" spans="1:47" ht="12.75">
      <c r="A11" s="13">
        <v>60000</v>
      </c>
      <c r="B11" s="52"/>
      <c r="C11" s="7">
        <f t="shared" si="0"/>
        <v>0</v>
      </c>
      <c r="D11" s="13">
        <v>20000</v>
      </c>
      <c r="E11" s="33"/>
      <c r="F11" s="7">
        <f t="shared" si="8"/>
        <v>0</v>
      </c>
      <c r="G11" s="13">
        <v>10000</v>
      </c>
      <c r="H11" s="33"/>
      <c r="I11" s="7">
        <f t="shared" si="1"/>
        <v>0</v>
      </c>
      <c r="J11" s="100">
        <v>0</v>
      </c>
      <c r="K11" s="56"/>
      <c r="L11" s="7">
        <f t="shared" si="2"/>
        <v>0</v>
      </c>
      <c r="N11" s="51"/>
      <c r="O11" s="7"/>
      <c r="P11" s="21"/>
      <c r="Q11" s="2"/>
      <c r="R11" s="7"/>
      <c r="S11" s="20"/>
      <c r="T11" s="33"/>
      <c r="U11" s="7"/>
      <c r="V11" s="21"/>
      <c r="W11" s="33"/>
      <c r="X11" s="7"/>
      <c r="Y11" s="13"/>
      <c r="Z11" s="33"/>
      <c r="AA11" s="7"/>
      <c r="AB11" s="20"/>
      <c r="AC11" s="33"/>
      <c r="AD11" s="7"/>
      <c r="AF11" s="13">
        <v>60000</v>
      </c>
      <c r="AG11" s="7">
        <f aca="true" t="shared" si="11" ref="AG11:AG19">B11+10</f>
        <v>10</v>
      </c>
      <c r="AH11" s="7">
        <f t="shared" si="5"/>
        <v>16.88</v>
      </c>
      <c r="AI11" s="13">
        <v>60000</v>
      </c>
      <c r="AJ11" s="78"/>
      <c r="AK11" s="7">
        <f t="shared" si="10"/>
        <v>0</v>
      </c>
      <c r="AL11" s="13">
        <v>20000</v>
      </c>
      <c r="AM11" s="78"/>
      <c r="AN11" s="7">
        <f t="shared" si="6"/>
        <v>0</v>
      </c>
      <c r="AO11" s="13">
        <v>10000</v>
      </c>
      <c r="AP11" s="78"/>
      <c r="AQ11" s="7">
        <f t="shared" si="7"/>
        <v>0</v>
      </c>
      <c r="AR11" s="100"/>
      <c r="AS11" s="13">
        <v>60000</v>
      </c>
      <c r="AT11" s="52"/>
      <c r="AU11" s="7"/>
    </row>
    <row r="12" spans="1:47" ht="12.75">
      <c r="A12" s="20">
        <v>50000</v>
      </c>
      <c r="B12" s="33"/>
      <c r="C12" s="7">
        <f t="shared" si="0"/>
        <v>0</v>
      </c>
      <c r="D12" s="13">
        <v>10000</v>
      </c>
      <c r="E12" s="33"/>
      <c r="F12" s="7">
        <f t="shared" si="8"/>
        <v>0</v>
      </c>
      <c r="G12" s="100">
        <v>0</v>
      </c>
      <c r="H12" s="55"/>
      <c r="I12" s="7">
        <f t="shared" si="1"/>
        <v>0</v>
      </c>
      <c r="J12" s="20"/>
      <c r="K12" s="38"/>
      <c r="L12" s="7"/>
      <c r="M12" s="20"/>
      <c r="N12" s="2"/>
      <c r="O12" s="7"/>
      <c r="P12" s="20"/>
      <c r="Q12" s="33"/>
      <c r="R12" s="7"/>
      <c r="S12" s="13"/>
      <c r="T12" s="33"/>
      <c r="U12" s="7"/>
      <c r="V12" s="20"/>
      <c r="W12" s="33"/>
      <c r="X12" s="7"/>
      <c r="Y12" s="20"/>
      <c r="Z12" s="33"/>
      <c r="AA12" s="7"/>
      <c r="AB12" s="100"/>
      <c r="AD12" s="7"/>
      <c r="AF12" s="20">
        <v>50000</v>
      </c>
      <c r="AG12" s="7">
        <f t="shared" si="11"/>
        <v>10</v>
      </c>
      <c r="AH12" s="7">
        <f t="shared" si="5"/>
        <v>16.88</v>
      </c>
      <c r="AI12" s="20">
        <v>50000</v>
      </c>
      <c r="AJ12" s="78"/>
      <c r="AK12" s="7">
        <f t="shared" si="10"/>
        <v>0</v>
      </c>
      <c r="AL12" s="13">
        <v>10000</v>
      </c>
      <c r="AM12" s="78"/>
      <c r="AN12" s="7">
        <f t="shared" si="6"/>
        <v>0</v>
      </c>
      <c r="AO12" s="100">
        <v>0</v>
      </c>
      <c r="AP12" s="78"/>
      <c r="AQ12" s="7">
        <f t="shared" si="7"/>
        <v>0</v>
      </c>
      <c r="AR12" s="13"/>
      <c r="AS12" s="20">
        <v>50000</v>
      </c>
      <c r="AT12" s="33"/>
      <c r="AU12" s="7"/>
    </row>
    <row r="13" spans="1:47" ht="12.75">
      <c r="A13" s="20">
        <v>45000</v>
      </c>
      <c r="B13" s="33"/>
      <c r="C13" s="7">
        <f t="shared" si="0"/>
        <v>0</v>
      </c>
      <c r="D13" s="100">
        <v>0</v>
      </c>
      <c r="E13" s="55"/>
      <c r="F13" s="7">
        <f t="shared" si="8"/>
        <v>0</v>
      </c>
      <c r="G13" s="113"/>
      <c r="H13" s="55"/>
      <c r="I13" s="56"/>
      <c r="J13" s="13"/>
      <c r="K13" s="2"/>
      <c r="L13" s="7"/>
      <c r="M13" s="13"/>
      <c r="N13" s="33"/>
      <c r="O13" s="7"/>
      <c r="P13" s="13"/>
      <c r="Q13" s="33"/>
      <c r="R13" s="7"/>
      <c r="S13" s="20"/>
      <c r="T13" s="33"/>
      <c r="U13" s="7"/>
      <c r="V13" s="13"/>
      <c r="W13" s="33"/>
      <c r="X13" s="7"/>
      <c r="Y13" s="13"/>
      <c r="Z13" s="33"/>
      <c r="AA13" s="7"/>
      <c r="AF13" s="20">
        <v>45000</v>
      </c>
      <c r="AG13" s="7">
        <f t="shared" si="11"/>
        <v>10</v>
      </c>
      <c r="AH13" s="7">
        <f t="shared" si="5"/>
        <v>16.88</v>
      </c>
      <c r="AI13" s="20">
        <v>45000</v>
      </c>
      <c r="AJ13" s="78"/>
      <c r="AK13" s="7">
        <f t="shared" si="10"/>
        <v>0</v>
      </c>
      <c r="AL13" s="100">
        <v>0</v>
      </c>
      <c r="AM13" s="78"/>
      <c r="AN13" s="7">
        <f t="shared" si="6"/>
        <v>0</v>
      </c>
      <c r="AO13" s="13"/>
      <c r="AQ13" s="7"/>
      <c r="AR13" s="20"/>
      <c r="AS13" s="20">
        <v>45000</v>
      </c>
      <c r="AT13" s="33"/>
      <c r="AU13" s="7"/>
    </row>
    <row r="14" spans="1:47" ht="12.75">
      <c r="A14" s="13">
        <v>40000</v>
      </c>
      <c r="B14" s="33"/>
      <c r="C14" s="7">
        <f t="shared" si="0"/>
        <v>0</v>
      </c>
      <c r="D14" s="55"/>
      <c r="E14" s="55"/>
      <c r="F14" s="56"/>
      <c r="G14" s="55"/>
      <c r="H14" s="55"/>
      <c r="I14" s="55"/>
      <c r="J14" s="20"/>
      <c r="K14" s="33"/>
      <c r="L14" s="7"/>
      <c r="M14" s="20"/>
      <c r="N14" s="33"/>
      <c r="O14" s="7"/>
      <c r="P14" s="20"/>
      <c r="Q14" s="33"/>
      <c r="R14" s="7"/>
      <c r="S14" s="13"/>
      <c r="T14" s="33"/>
      <c r="U14" s="7"/>
      <c r="V14" s="20"/>
      <c r="W14" s="33"/>
      <c r="X14" s="7"/>
      <c r="Y14" s="20"/>
      <c r="Z14" s="33"/>
      <c r="AA14" s="7"/>
      <c r="AF14" s="13">
        <v>40000</v>
      </c>
      <c r="AG14" s="7">
        <f t="shared" si="11"/>
        <v>10</v>
      </c>
      <c r="AH14" s="7">
        <f t="shared" si="5"/>
        <v>16.88</v>
      </c>
      <c r="AI14" s="13">
        <v>40000</v>
      </c>
      <c r="AJ14" s="78"/>
      <c r="AK14" s="7">
        <f t="shared" si="10"/>
        <v>0</v>
      </c>
      <c r="AL14" s="20"/>
      <c r="AN14" s="7"/>
      <c r="AO14" s="13"/>
      <c r="AQ14" s="7"/>
      <c r="AR14" s="20"/>
      <c r="AS14" s="13">
        <v>40000</v>
      </c>
      <c r="AT14" s="33"/>
      <c r="AU14" s="7"/>
    </row>
    <row r="15" spans="1:47" ht="12.75">
      <c r="A15" s="20">
        <v>34000</v>
      </c>
      <c r="B15" s="33"/>
      <c r="C15" s="7">
        <f t="shared" si="0"/>
        <v>0</v>
      </c>
      <c r="D15" s="55"/>
      <c r="E15" s="55"/>
      <c r="F15" s="56"/>
      <c r="G15" s="55"/>
      <c r="H15" s="55"/>
      <c r="I15" s="55"/>
      <c r="K15" s="33"/>
      <c r="L15" s="7"/>
      <c r="M15" s="13"/>
      <c r="N15" s="33"/>
      <c r="O15" s="7"/>
      <c r="P15" s="13"/>
      <c r="Q15" s="33"/>
      <c r="R15" s="7"/>
      <c r="S15" s="20"/>
      <c r="T15" s="33"/>
      <c r="U15" s="7"/>
      <c r="V15" s="13"/>
      <c r="W15" s="33"/>
      <c r="X15" s="7"/>
      <c r="Y15" s="100"/>
      <c r="AA15" s="7"/>
      <c r="AF15" s="20">
        <v>34000</v>
      </c>
      <c r="AG15" s="7">
        <f t="shared" si="11"/>
        <v>10</v>
      </c>
      <c r="AH15" s="7">
        <f t="shared" si="5"/>
        <v>16.88</v>
      </c>
      <c r="AI15" s="20">
        <v>34000</v>
      </c>
      <c r="AJ15" s="78"/>
      <c r="AK15" s="7">
        <f t="shared" si="10"/>
        <v>0</v>
      </c>
      <c r="AL15" s="13"/>
      <c r="AM15" s="8"/>
      <c r="AN15" s="7"/>
      <c r="AO15" s="20"/>
      <c r="AQ15" s="7"/>
      <c r="AR15" s="13"/>
      <c r="AS15" s="20">
        <v>34000</v>
      </c>
      <c r="AT15" s="33"/>
      <c r="AU15" s="7"/>
    </row>
    <row r="16" spans="1:47" ht="12.75">
      <c r="A16" s="13">
        <v>30000</v>
      </c>
      <c r="B16" s="33"/>
      <c r="C16" s="7">
        <f t="shared" si="0"/>
        <v>0</v>
      </c>
      <c r="D16" s="55"/>
      <c r="E16" s="55"/>
      <c r="F16" s="56"/>
      <c r="G16" s="55"/>
      <c r="H16" s="55"/>
      <c r="I16" s="55"/>
      <c r="K16" s="33"/>
      <c r="L16" s="7"/>
      <c r="M16" s="20"/>
      <c r="N16" s="33"/>
      <c r="O16" s="7"/>
      <c r="P16" s="20"/>
      <c r="Q16" s="33"/>
      <c r="R16" s="7"/>
      <c r="S16" s="13"/>
      <c r="T16" s="33"/>
      <c r="U16" s="7"/>
      <c r="V16" s="20"/>
      <c r="W16" s="33"/>
      <c r="X16" s="7"/>
      <c r="AF16" s="13">
        <v>30000</v>
      </c>
      <c r="AG16" s="7">
        <f t="shared" si="11"/>
        <v>10</v>
      </c>
      <c r="AH16" s="7">
        <f t="shared" si="5"/>
        <v>16.88</v>
      </c>
      <c r="AI16" s="13">
        <v>30000</v>
      </c>
      <c r="AJ16" s="78"/>
      <c r="AK16" s="7">
        <f t="shared" si="10"/>
        <v>0</v>
      </c>
      <c r="AL16" s="20"/>
      <c r="AN16" s="7"/>
      <c r="AO16" s="13"/>
      <c r="AQ16" s="7"/>
      <c r="AR16" s="20"/>
      <c r="AS16" s="13">
        <v>30000</v>
      </c>
      <c r="AT16" s="33"/>
      <c r="AU16" s="7"/>
    </row>
    <row r="17" spans="1:47" ht="12.75">
      <c r="A17" s="13">
        <v>20000</v>
      </c>
      <c r="B17" s="33"/>
      <c r="C17" s="7">
        <f t="shared" si="0"/>
        <v>0</v>
      </c>
      <c r="D17" s="55"/>
      <c r="E17" s="55"/>
      <c r="F17" s="56"/>
      <c r="G17" s="55"/>
      <c r="H17" s="55"/>
      <c r="I17" s="55"/>
      <c r="K17" s="33"/>
      <c r="L17" s="7"/>
      <c r="M17" s="13"/>
      <c r="N17" s="33"/>
      <c r="O17" s="7"/>
      <c r="P17" s="13"/>
      <c r="Q17" s="33"/>
      <c r="R17" s="7"/>
      <c r="S17" s="20"/>
      <c r="T17" s="33"/>
      <c r="U17" s="7"/>
      <c r="V17" s="100"/>
      <c r="X17" s="7"/>
      <c r="AF17" s="13">
        <v>20000</v>
      </c>
      <c r="AG17" s="7">
        <f t="shared" si="11"/>
        <v>10</v>
      </c>
      <c r="AH17" s="7">
        <f t="shared" si="5"/>
        <v>16.88</v>
      </c>
      <c r="AI17" s="13">
        <v>20000</v>
      </c>
      <c r="AJ17" s="78"/>
      <c r="AK17" s="7">
        <f t="shared" si="10"/>
        <v>0</v>
      </c>
      <c r="AL17" s="13"/>
      <c r="AN17" s="7"/>
      <c r="AO17" s="20"/>
      <c r="AQ17" s="7"/>
      <c r="AR17" s="13"/>
      <c r="AS17" s="13">
        <v>20000</v>
      </c>
      <c r="AT17" s="33"/>
      <c r="AU17" s="7"/>
    </row>
    <row r="18" spans="1:47" ht="12.75">
      <c r="A18" s="13">
        <v>10000</v>
      </c>
      <c r="B18" s="33"/>
      <c r="C18" s="7">
        <f t="shared" si="0"/>
        <v>0</v>
      </c>
      <c r="D18" s="55"/>
      <c r="E18" s="55"/>
      <c r="F18" s="55"/>
      <c r="G18" s="114"/>
      <c r="H18" s="55"/>
      <c r="I18" s="56"/>
      <c r="L18" s="7"/>
      <c r="M18" s="20"/>
      <c r="N18" s="33"/>
      <c r="O18" s="7"/>
      <c r="P18" s="20"/>
      <c r="Q18" s="33"/>
      <c r="R18" s="7"/>
      <c r="S18" s="100"/>
      <c r="U18" s="7"/>
      <c r="AF18" s="13">
        <v>10000</v>
      </c>
      <c r="AG18" s="7">
        <f t="shared" si="11"/>
        <v>10</v>
      </c>
      <c r="AH18" s="7">
        <f t="shared" si="5"/>
        <v>16.88</v>
      </c>
      <c r="AI18" s="13">
        <v>10000</v>
      </c>
      <c r="AJ18" s="78"/>
      <c r="AK18" s="7">
        <f t="shared" si="10"/>
        <v>0</v>
      </c>
      <c r="AL18" s="20"/>
      <c r="AN18" s="7"/>
      <c r="AO18" s="13"/>
      <c r="AQ18" s="7"/>
      <c r="AR18" s="20"/>
      <c r="AS18" s="13">
        <v>10000</v>
      </c>
      <c r="AT18" s="33"/>
      <c r="AU18" s="7"/>
    </row>
    <row r="19" spans="1:47" ht="12.75">
      <c r="A19" s="100">
        <v>0</v>
      </c>
      <c r="B19" s="55"/>
      <c r="C19" s="7">
        <f t="shared" si="0"/>
        <v>0</v>
      </c>
      <c r="D19" s="55"/>
      <c r="E19" s="55"/>
      <c r="F19" s="56"/>
      <c r="G19" s="55"/>
      <c r="H19" s="55"/>
      <c r="I19" s="56"/>
      <c r="L19" s="7"/>
      <c r="M19" s="13"/>
      <c r="N19" s="33"/>
      <c r="O19" s="7"/>
      <c r="P19" s="100"/>
      <c r="R19" s="7"/>
      <c r="AF19" s="100">
        <v>0</v>
      </c>
      <c r="AG19" s="7">
        <f t="shared" si="11"/>
        <v>10</v>
      </c>
      <c r="AH19" s="7">
        <f t="shared" si="5"/>
        <v>16.88</v>
      </c>
      <c r="AI19" s="100">
        <v>0</v>
      </c>
      <c r="AJ19" s="78"/>
      <c r="AK19" s="7">
        <f t="shared" si="10"/>
        <v>0</v>
      </c>
      <c r="AL19" s="13"/>
      <c r="AN19" s="7"/>
      <c r="AO19" s="20"/>
      <c r="AQ19" s="7"/>
      <c r="AR19" s="13"/>
      <c r="AS19" s="100">
        <v>0</v>
      </c>
      <c r="AT19" s="55"/>
      <c r="AU19" s="7"/>
    </row>
    <row r="20" spans="3:50" ht="12.75">
      <c r="C20" s="7"/>
      <c r="E20" s="33"/>
      <c r="F20" s="7"/>
      <c r="G20" s="55"/>
      <c r="H20" s="55"/>
      <c r="I20" s="56"/>
      <c r="L20" s="7"/>
      <c r="M20" s="20"/>
      <c r="N20" s="33"/>
      <c r="O20" s="7"/>
      <c r="V20" s="8"/>
      <c r="AF20" s="20"/>
      <c r="AG20" s="7"/>
      <c r="AH20" s="7"/>
      <c r="AI20" s="20"/>
      <c r="AK20" s="7"/>
      <c r="AL20" s="20"/>
      <c r="AN20" s="7"/>
      <c r="AO20" s="13"/>
      <c r="AQ20" s="7"/>
      <c r="AR20" s="20"/>
      <c r="AT20" s="7"/>
      <c r="AV20" s="20"/>
      <c r="AW20" s="33"/>
      <c r="AX20" s="7"/>
    </row>
    <row r="21" spans="4:50" ht="12.75">
      <c r="D21" s="13"/>
      <c r="E21" s="33"/>
      <c r="F21" s="7"/>
      <c r="G21" s="13"/>
      <c r="H21" s="33"/>
      <c r="I21" s="7"/>
      <c r="J21" s="13"/>
      <c r="K21" s="33"/>
      <c r="L21" s="7"/>
      <c r="M21" s="100"/>
      <c r="O21" s="7"/>
      <c r="U21" s="8"/>
      <c r="V21" s="22"/>
      <c r="W21" s="22"/>
      <c r="X21" s="8"/>
      <c r="AF21" s="13"/>
      <c r="AG21" s="7"/>
      <c r="AH21" s="7"/>
      <c r="AI21" s="13"/>
      <c r="AK21" s="7"/>
      <c r="AL21" s="13"/>
      <c r="AN21" s="7"/>
      <c r="AO21" s="20"/>
      <c r="AQ21" s="7"/>
      <c r="AR21" s="13"/>
      <c r="AT21" s="7"/>
      <c r="AV21" s="13"/>
      <c r="AW21" s="33"/>
      <c r="AX21" s="7"/>
    </row>
    <row r="22" spans="4:50" ht="12.75">
      <c r="D22" s="20"/>
      <c r="E22" s="33"/>
      <c r="F22" s="7"/>
      <c r="G22" s="20"/>
      <c r="H22" s="33"/>
      <c r="I22" s="7"/>
      <c r="J22" s="20"/>
      <c r="K22" s="33"/>
      <c r="L22" s="7"/>
      <c r="R22" s="11"/>
      <c r="U22" s="8"/>
      <c r="V22" s="8"/>
      <c r="W22" s="8"/>
      <c r="X22" s="22"/>
      <c r="AF22" t="s">
        <v>203</v>
      </c>
      <c r="AG22" s="7"/>
      <c r="AH22" s="7"/>
      <c r="AI22" s="20"/>
      <c r="AK22" s="7"/>
      <c r="AL22" s="20"/>
      <c r="AN22" s="7"/>
      <c r="AO22" s="13"/>
      <c r="AQ22" s="7"/>
      <c r="AR22" s="20"/>
      <c r="AT22" s="7"/>
      <c r="AV22" s="20"/>
      <c r="AW22" s="33"/>
      <c r="AX22" s="7"/>
    </row>
    <row r="23" spans="1:50" ht="12.75">
      <c r="A23" t="s">
        <v>492</v>
      </c>
      <c r="J23" s="100"/>
      <c r="K23" s="16" t="s">
        <v>794</v>
      </c>
      <c r="L23" s="7"/>
      <c r="O23" s="105"/>
      <c r="S23" s="55"/>
      <c r="U23" s="8"/>
      <c r="V23" s="7"/>
      <c r="W23" s="7"/>
      <c r="X23" s="8"/>
      <c r="AF23" t="s">
        <v>204</v>
      </c>
      <c r="AG23" s="7"/>
      <c r="AH23" s="7"/>
      <c r="AI23" s="13"/>
      <c r="AK23" s="7"/>
      <c r="AL23" s="13"/>
      <c r="AN23" s="7"/>
      <c r="AO23" s="20"/>
      <c r="AQ23" s="7"/>
      <c r="AR23" s="100"/>
      <c r="AT23" s="7"/>
      <c r="AV23" s="13"/>
      <c r="AW23" s="33"/>
      <c r="AX23" s="7"/>
    </row>
    <row r="24" spans="10:50" ht="12.75">
      <c r="J24" s="25"/>
      <c r="K24" s="33"/>
      <c r="L24" s="27"/>
      <c r="M24" s="8"/>
      <c r="N24" s="22"/>
      <c r="O24" s="22"/>
      <c r="R24" s="27"/>
      <c r="S24" s="55"/>
      <c r="U24" s="8"/>
      <c r="V24" s="7"/>
      <c r="W24" s="7"/>
      <c r="X24" s="7"/>
      <c r="AF24" t="s">
        <v>205</v>
      </c>
      <c r="AG24" s="7"/>
      <c r="AH24" s="7"/>
      <c r="AI24" s="20"/>
      <c r="AK24" s="7"/>
      <c r="AL24" s="20"/>
      <c r="AN24" s="7"/>
      <c r="AO24" s="100"/>
      <c r="AQ24" s="7"/>
      <c r="AV24" s="20"/>
      <c r="AW24" s="33"/>
      <c r="AX24" s="7"/>
    </row>
    <row r="25" spans="10:50" ht="12.75">
      <c r="J25" s="25"/>
      <c r="K25" s="33"/>
      <c r="L25" s="27"/>
      <c r="M25" s="8"/>
      <c r="N25" s="8"/>
      <c r="O25" s="8"/>
      <c r="R25" s="27"/>
      <c r="U25" s="8"/>
      <c r="V25" s="7"/>
      <c r="W25" s="7"/>
      <c r="X25" s="8"/>
      <c r="AF25" s="100"/>
      <c r="AG25" s="7"/>
      <c r="AH25" s="7"/>
      <c r="AI25" s="100"/>
      <c r="AK25" s="7"/>
      <c r="AL25" s="100"/>
      <c r="AN25" s="7"/>
      <c r="AV25" s="100"/>
      <c r="AX25" s="7"/>
    </row>
    <row r="26" spans="1:24" ht="12.75">
      <c r="A26" t="s">
        <v>143</v>
      </c>
      <c r="J26" s="25"/>
      <c r="U26" s="8"/>
      <c r="V26" s="7"/>
      <c r="W26" s="7"/>
      <c r="X26" s="8"/>
    </row>
    <row r="27" spans="10:24" ht="12.75">
      <c r="J27" s="25"/>
      <c r="U27" s="8"/>
      <c r="V27" s="7"/>
      <c r="W27" s="7"/>
      <c r="X27" s="8"/>
    </row>
    <row r="28" spans="1:24" ht="12.75">
      <c r="A28" s="33" t="s">
        <v>781</v>
      </c>
      <c r="J28" s="25"/>
      <c r="U28" s="8"/>
      <c r="V28" s="7"/>
      <c r="W28" s="7"/>
      <c r="X28" s="8"/>
    </row>
    <row r="29" spans="1:24" ht="12.75">
      <c r="A29" s="35"/>
      <c r="J29" s="25"/>
      <c r="U29" s="8"/>
      <c r="V29" s="7"/>
      <c r="W29" s="7"/>
      <c r="X29" s="8"/>
    </row>
    <row r="30" spans="1:24" ht="12.75">
      <c r="A30" t="s">
        <v>715</v>
      </c>
      <c r="J30" s="25"/>
      <c r="U30" s="8"/>
      <c r="V30" s="7"/>
      <c r="W30" s="7"/>
      <c r="X30" s="8"/>
    </row>
    <row r="31" spans="10:24" ht="12.75">
      <c r="J31" s="25"/>
      <c r="K31" s="11" t="s">
        <v>913</v>
      </c>
      <c r="L31" s="11"/>
      <c r="M31" s="11"/>
      <c r="P31" s="27"/>
      <c r="Q31" s="55"/>
      <c r="T31" s="25"/>
      <c r="U31" s="25"/>
      <c r="V31" s="7"/>
      <c r="W31" s="7"/>
      <c r="X31" s="8"/>
    </row>
    <row r="32" spans="9:24" ht="12.75">
      <c r="I32" s="1" t="s">
        <v>699</v>
      </c>
      <c r="K32" s="40"/>
      <c r="L32" s="40"/>
      <c r="M32" s="40"/>
      <c r="T32" s="92"/>
      <c r="U32" s="25"/>
      <c r="X32" s="8"/>
    </row>
    <row r="33" spans="11:24" ht="12.75">
      <c r="K33" s="27"/>
      <c r="L33" s="27"/>
      <c r="M33" s="27"/>
      <c r="O33" s="34" t="s">
        <v>732</v>
      </c>
      <c r="S33" s="8"/>
      <c r="T33" s="8"/>
      <c r="X33" s="8"/>
    </row>
    <row r="34" spans="10:21" ht="12.75">
      <c r="J34" s="25"/>
      <c r="K34" s="27"/>
      <c r="L34" s="39"/>
      <c r="M34" s="39"/>
      <c r="O34" s="34" t="s">
        <v>805</v>
      </c>
      <c r="U34" s="25"/>
    </row>
    <row r="35" spans="10:21" ht="12.75">
      <c r="J35" s="25"/>
      <c r="K35" s="27"/>
      <c r="L35" s="39"/>
      <c r="M35" s="39"/>
      <c r="O35" t="s">
        <v>600</v>
      </c>
      <c r="P35" s="80" t="s">
        <v>877</v>
      </c>
      <c r="U35" s="25"/>
    </row>
    <row r="36" spans="10:21" ht="12.75">
      <c r="J36" s="25"/>
      <c r="K36" s="27"/>
      <c r="L36" s="27"/>
      <c r="M36" s="27"/>
      <c r="O36" s="34" t="s">
        <v>787</v>
      </c>
      <c r="P36" s="118"/>
      <c r="S36" s="25"/>
      <c r="T36" s="25"/>
      <c r="U36" s="25"/>
    </row>
    <row r="37" spans="11:21" ht="12.75">
      <c r="K37" s="23"/>
      <c r="L37" s="23"/>
      <c r="M37" s="23"/>
      <c r="S37" s="40"/>
      <c r="T37" s="25"/>
      <c r="U37" s="25"/>
    </row>
    <row r="38" spans="10:21" ht="12.75">
      <c r="J38" s="25"/>
      <c r="K38" s="27"/>
      <c r="L38" s="39"/>
      <c r="M38" s="39"/>
      <c r="S38" s="25"/>
      <c r="T38" s="25"/>
      <c r="U38" s="7"/>
    </row>
    <row r="39" spans="10:20" ht="12.75">
      <c r="J39" s="25"/>
      <c r="K39" s="60"/>
      <c r="L39" s="60"/>
      <c r="M39" s="60"/>
      <c r="O39" t="s">
        <v>792</v>
      </c>
      <c r="P39" s="8"/>
      <c r="Q39" s="24"/>
      <c r="S39" s="25"/>
      <c r="T39" s="25"/>
    </row>
    <row r="40" spans="10:17" ht="12.75">
      <c r="J40" s="25"/>
      <c r="K40" s="72">
        <f>K39*6.5</f>
        <v>0</v>
      </c>
      <c r="L40" s="72">
        <f>L39*6.5</f>
        <v>0</v>
      </c>
      <c r="M40" s="72">
        <f>M39*6.5</f>
        <v>0</v>
      </c>
      <c r="O40" t="s">
        <v>542</v>
      </c>
      <c r="P40" s="8"/>
      <c r="Q40" s="24"/>
    </row>
    <row r="41" spans="10:21" ht="12.75">
      <c r="J41" s="25"/>
      <c r="K41" s="72">
        <f>K39*6.8</f>
        <v>0</v>
      </c>
      <c r="L41" s="72">
        <f>L39*6.8</f>
        <v>0</v>
      </c>
      <c r="M41" s="72">
        <f>M39*6.8</f>
        <v>0</v>
      </c>
      <c r="O41" t="s">
        <v>791</v>
      </c>
      <c r="P41" s="8"/>
      <c r="U41" s="25"/>
    </row>
    <row r="42" spans="11:21" ht="12.75">
      <c r="K42" s="91"/>
      <c r="L42" s="91"/>
      <c r="M42" s="91"/>
      <c r="O42" s="25" t="s">
        <v>262</v>
      </c>
      <c r="U42" s="25"/>
    </row>
    <row r="43" spans="10:21" ht="12.75">
      <c r="J43" s="25"/>
      <c r="K43" s="27"/>
      <c r="L43" s="79"/>
      <c r="M43" s="60"/>
      <c r="U43" s="25"/>
    </row>
    <row r="44" spans="10:21" ht="12.75">
      <c r="J44" s="25"/>
      <c r="K44" s="27"/>
      <c r="L44" s="27"/>
      <c r="M44" s="27"/>
      <c r="O44" t="s">
        <v>898</v>
      </c>
      <c r="P44" s="8"/>
      <c r="U44" s="25"/>
    </row>
    <row r="45" spans="10:17" ht="12.75">
      <c r="J45" s="25"/>
      <c r="K45" s="27"/>
      <c r="L45" s="72"/>
      <c r="M45" s="72"/>
      <c r="P45" s="8"/>
      <c r="Q45" s="25"/>
    </row>
    <row r="46" spans="10:16" ht="12.75">
      <c r="J46" s="25"/>
      <c r="K46" s="27"/>
      <c r="L46" s="23"/>
      <c r="M46" s="23"/>
      <c r="P46" s="8"/>
    </row>
    <row r="47" spans="10:13" ht="12.75">
      <c r="J47" s="25"/>
      <c r="K47" s="27"/>
      <c r="L47" s="27"/>
      <c r="M47" s="27"/>
    </row>
    <row r="48" spans="10:15" ht="12.75">
      <c r="J48" s="25"/>
      <c r="K48" s="27"/>
      <c r="L48" s="27"/>
      <c r="M48" s="27"/>
      <c r="O48" s="14" t="s">
        <v>599</v>
      </c>
    </row>
    <row r="49" spans="10:15" ht="12.75">
      <c r="J49" s="25"/>
      <c r="K49" s="27"/>
      <c r="L49" s="27"/>
      <c r="M49" s="27"/>
      <c r="O49" t="s">
        <v>479</v>
      </c>
    </row>
    <row r="50" spans="10:15" ht="12.75">
      <c r="J50" s="25"/>
      <c r="K50" s="27"/>
      <c r="L50" s="27"/>
      <c r="M50" s="27"/>
      <c r="O50" t="s">
        <v>480</v>
      </c>
    </row>
    <row r="51" spans="10:15" ht="12.75">
      <c r="J51" s="25"/>
      <c r="M51" s="27"/>
      <c r="O51" t="s">
        <v>831</v>
      </c>
    </row>
    <row r="52" spans="11:15" ht="12.75">
      <c r="K52" s="27"/>
      <c r="L52" s="27"/>
      <c r="M52" s="27"/>
      <c r="O52" t="s">
        <v>481</v>
      </c>
    </row>
    <row r="53" spans="11:15" ht="12.75">
      <c r="K53" s="27"/>
      <c r="L53" s="27"/>
      <c r="M53" s="27"/>
      <c r="O53" t="s">
        <v>482</v>
      </c>
    </row>
    <row r="54" spans="9:13" ht="12.75">
      <c r="I54" s="1" t="s">
        <v>700</v>
      </c>
      <c r="J54" s="25"/>
      <c r="K54" s="23"/>
      <c r="L54" s="23"/>
      <c r="M54" s="23"/>
    </row>
    <row r="55" spans="10:15" ht="12.75">
      <c r="J55" s="25"/>
      <c r="K55" s="27"/>
      <c r="L55" s="39"/>
      <c r="M55" s="27"/>
      <c r="O55" s="14" t="s">
        <v>476</v>
      </c>
    </row>
    <row r="56" spans="10:15" ht="12.75">
      <c r="J56" s="25"/>
      <c r="K56" s="27"/>
      <c r="L56" s="27"/>
      <c r="M56" s="27"/>
      <c r="N56" s="27"/>
      <c r="O56" t="s">
        <v>556</v>
      </c>
    </row>
    <row r="57" spans="10:16" ht="12.75">
      <c r="J57" s="25"/>
      <c r="K57" s="27"/>
      <c r="L57" s="27"/>
      <c r="M57" s="27"/>
      <c r="N57" s="27"/>
      <c r="O57" t="s">
        <v>472</v>
      </c>
      <c r="P57" s="8"/>
    </row>
    <row r="58" spans="10:18" ht="12.75">
      <c r="J58" s="25"/>
      <c r="K58" s="27"/>
      <c r="L58" s="27"/>
      <c r="M58" s="27"/>
      <c r="N58" s="27"/>
      <c r="O58" t="s">
        <v>473</v>
      </c>
      <c r="P58" s="8"/>
      <c r="Q58" s="39"/>
      <c r="R58" s="71"/>
    </row>
    <row r="59" spans="10:14" ht="12.75">
      <c r="J59" s="25"/>
      <c r="K59" s="23"/>
      <c r="L59" s="23"/>
      <c r="M59" s="23"/>
      <c r="N59" s="27"/>
    </row>
    <row r="60" spans="10:15" ht="12.75">
      <c r="J60" s="25"/>
      <c r="M60" s="27"/>
      <c r="N60" s="27"/>
      <c r="O60" s="14" t="s">
        <v>483</v>
      </c>
    </row>
    <row r="61" spans="10:16" ht="12.75">
      <c r="J61" s="25"/>
      <c r="K61" s="27"/>
      <c r="L61" s="27"/>
      <c r="M61" s="27"/>
      <c r="N61" s="27"/>
      <c r="O61" s="27" t="s">
        <v>705</v>
      </c>
      <c r="P61" t="s">
        <v>484</v>
      </c>
    </row>
    <row r="62" spans="10:16" ht="12.75">
      <c r="J62" s="25"/>
      <c r="K62" s="27"/>
      <c r="L62" s="27"/>
      <c r="M62" s="27"/>
      <c r="N62" s="27"/>
      <c r="O62" s="27" t="s">
        <v>806</v>
      </c>
      <c r="P62" t="s">
        <v>484</v>
      </c>
    </row>
    <row r="63" spans="10:14" ht="12.75">
      <c r="J63" s="25"/>
      <c r="K63" s="23"/>
      <c r="L63" s="23"/>
      <c r="M63" s="23"/>
      <c r="N63" s="27"/>
    </row>
    <row r="64" spans="10:15" ht="12.75">
      <c r="J64" s="25"/>
      <c r="L64" s="39"/>
      <c r="M64" s="27"/>
      <c r="N64" s="27"/>
      <c r="O64" s="14" t="s">
        <v>487</v>
      </c>
    </row>
    <row r="65" spans="10:16" ht="12.75">
      <c r="J65" s="25"/>
      <c r="K65" s="27"/>
      <c r="L65" s="27"/>
      <c r="M65" s="27"/>
      <c r="N65" s="27"/>
      <c r="O65" s="27" t="s">
        <v>705</v>
      </c>
      <c r="P65" t="s">
        <v>484</v>
      </c>
    </row>
    <row r="66" spans="10:16" ht="12.75">
      <c r="J66" s="25"/>
      <c r="K66" s="27"/>
      <c r="L66" s="27"/>
      <c r="M66" s="27"/>
      <c r="N66" s="27"/>
      <c r="O66" s="27" t="s">
        <v>488</v>
      </c>
      <c r="P66" t="s">
        <v>484</v>
      </c>
    </row>
    <row r="67" spans="10:16" ht="12.75">
      <c r="J67" s="25"/>
      <c r="M67" s="27"/>
      <c r="O67" s="27" t="s">
        <v>842</v>
      </c>
      <c r="P67" t="s">
        <v>484</v>
      </c>
    </row>
    <row r="68" spans="10:16" ht="12.75">
      <c r="J68" s="25"/>
      <c r="K68" s="27"/>
      <c r="L68" s="27"/>
      <c r="M68" s="27"/>
      <c r="N68" s="27"/>
      <c r="O68" s="27" t="s">
        <v>806</v>
      </c>
      <c r="P68" t="s">
        <v>484</v>
      </c>
    </row>
    <row r="69" spans="10:14" ht="12.75">
      <c r="J69" s="25"/>
      <c r="K69" s="23"/>
      <c r="L69" s="23"/>
      <c r="M69" s="23"/>
      <c r="N69" s="27"/>
    </row>
    <row r="70" spans="10:15" ht="12.75">
      <c r="J70" s="25"/>
      <c r="L70" s="39"/>
      <c r="M70" s="27"/>
      <c r="N70" s="27"/>
      <c r="O70" s="14" t="s">
        <v>467</v>
      </c>
    </row>
    <row r="71" spans="10:18" ht="12.75">
      <c r="J71" s="25"/>
      <c r="K71" s="27"/>
      <c r="L71" s="27"/>
      <c r="M71" s="27"/>
      <c r="N71" s="27"/>
      <c r="O71" s="35" t="s">
        <v>470</v>
      </c>
      <c r="R71" s="110" t="s">
        <v>464</v>
      </c>
    </row>
    <row r="72" spans="10:18" ht="12.75">
      <c r="J72" s="25"/>
      <c r="M72" s="27"/>
      <c r="N72" s="27"/>
      <c r="O72" s="35" t="s">
        <v>827</v>
      </c>
      <c r="R72" s="110" t="s">
        <v>465</v>
      </c>
    </row>
    <row r="73" spans="10:18" ht="12.75">
      <c r="J73" s="25"/>
      <c r="K73" s="23"/>
      <c r="L73" s="23"/>
      <c r="M73" s="23"/>
      <c r="N73" s="27"/>
      <c r="R73" s="110" t="s">
        <v>466</v>
      </c>
    </row>
    <row r="74" spans="10:14" ht="12.75">
      <c r="J74" s="25"/>
      <c r="M74" s="27"/>
      <c r="N74" s="27"/>
    </row>
    <row r="75" spans="9:15" ht="12.75">
      <c r="I75" s="1" t="s">
        <v>701</v>
      </c>
      <c r="J75" s="25"/>
      <c r="K75" s="27"/>
      <c r="L75" s="27"/>
      <c r="M75" s="27"/>
      <c r="O75" t="s">
        <v>844</v>
      </c>
    </row>
    <row r="76" spans="10:13" ht="12.75">
      <c r="J76" s="25"/>
      <c r="K76" s="23"/>
      <c r="L76" s="23"/>
      <c r="M76" s="23"/>
    </row>
    <row r="77" spans="10:15" ht="12.75">
      <c r="J77" s="25"/>
      <c r="O77" s="14" t="s">
        <v>185</v>
      </c>
    </row>
    <row r="78" spans="10:15" ht="12.75">
      <c r="J78" s="25"/>
      <c r="K78" s="27"/>
      <c r="L78" s="27"/>
      <c r="M78" s="27"/>
      <c r="O78" s="35" t="s">
        <v>825</v>
      </c>
    </row>
    <row r="79" spans="10:15" ht="12.75">
      <c r="J79" s="25"/>
      <c r="K79" s="27"/>
      <c r="L79" s="27"/>
      <c r="M79" s="27"/>
      <c r="O79" s="35" t="s">
        <v>824</v>
      </c>
    </row>
    <row r="80" spans="10:13" ht="12.75">
      <c r="J80" s="25"/>
      <c r="K80" s="23"/>
      <c r="L80" s="23"/>
      <c r="M80" s="23"/>
    </row>
    <row r="81" ht="12.75">
      <c r="J81" s="25"/>
    </row>
    <row r="82" spans="10:15" ht="12.75">
      <c r="J82" s="25"/>
      <c r="K82" s="27"/>
      <c r="L82" s="27"/>
      <c r="M82" s="27"/>
      <c r="O82" t="s">
        <v>541</v>
      </c>
    </row>
    <row r="83" spans="11:13" ht="12.75">
      <c r="K83" s="23"/>
      <c r="L83" s="23"/>
      <c r="M83" s="23"/>
    </row>
    <row r="85" spans="11:15" ht="12.75">
      <c r="K85" s="68"/>
      <c r="L85" s="68"/>
      <c r="M85" s="68"/>
      <c r="O85" s="55" t="s">
        <v>852</v>
      </c>
    </row>
    <row r="86" spans="11:13" ht="12.75">
      <c r="K86" s="91"/>
      <c r="L86" s="91"/>
      <c r="M86" s="91"/>
    </row>
    <row r="88" spans="11:15" ht="12.75">
      <c r="K88" s="27"/>
      <c r="L88" s="27"/>
      <c r="M88" s="27"/>
      <c r="O88" t="s">
        <v>114</v>
      </c>
    </row>
    <row r="91" spans="11:16" ht="12.75">
      <c r="K91" s="40"/>
      <c r="O91" s="11" t="s">
        <v>786</v>
      </c>
      <c r="P91" t="s">
        <v>866</v>
      </c>
    </row>
    <row r="92" spans="11:13" ht="12.75">
      <c r="K92" s="58" t="s">
        <v>914</v>
      </c>
      <c r="L92" s="58"/>
      <c r="M92" s="58"/>
    </row>
    <row r="93" spans="11:13" ht="12.75">
      <c r="K93" s="23" t="s">
        <v>874</v>
      </c>
      <c r="L93" s="23" t="s">
        <v>874</v>
      </c>
      <c r="M93" s="23" t="s">
        <v>874</v>
      </c>
    </row>
    <row r="94" spans="11:16" ht="12.75">
      <c r="K94" s="79">
        <v>26000</v>
      </c>
      <c r="L94" s="79"/>
      <c r="M94" s="79"/>
      <c r="O94" s="27" t="s">
        <v>867</v>
      </c>
      <c r="P94" s="34" t="s">
        <v>875</v>
      </c>
    </row>
    <row r="95" spans="11:15" ht="12.75">
      <c r="K95" s="39"/>
      <c r="L95" s="39"/>
      <c r="M95" s="39"/>
      <c r="O95" s="27" t="s">
        <v>784</v>
      </c>
    </row>
    <row r="96" spans="9:16" ht="12.75">
      <c r="I96" s="1"/>
      <c r="K96" s="31">
        <f>(K94*K95)/3600</f>
        <v>0</v>
      </c>
      <c r="L96" s="31">
        <f>(L94*L95)/3600</f>
        <v>0</v>
      </c>
      <c r="M96" s="31">
        <f>(M94*M95)/3600</f>
        <v>0</v>
      </c>
      <c r="N96" s="31"/>
      <c r="O96" s="27" t="s">
        <v>868</v>
      </c>
      <c r="P96" s="34" t="s">
        <v>876</v>
      </c>
    </row>
    <row r="97" spans="9:15" ht="12.75">
      <c r="I97" s="1" t="s">
        <v>702</v>
      </c>
      <c r="K97" s="40"/>
      <c r="L97" s="40"/>
      <c r="O97" s="27"/>
    </row>
    <row r="98" spans="11:16" ht="12.75">
      <c r="K98" s="79">
        <v>35000</v>
      </c>
      <c r="L98" s="79"/>
      <c r="M98" s="79"/>
      <c r="O98" s="27" t="s">
        <v>144</v>
      </c>
      <c r="P98" s="34" t="s">
        <v>875</v>
      </c>
    </row>
    <row r="99" spans="11:15" ht="12.75">
      <c r="K99" s="39"/>
      <c r="L99" s="39"/>
      <c r="M99" s="39"/>
      <c r="O99" s="27" t="s">
        <v>784</v>
      </c>
    </row>
    <row r="100" spans="11:16" ht="12.75">
      <c r="K100" s="31">
        <f>(K98*K99)/3600</f>
        <v>0</v>
      </c>
      <c r="L100" s="31">
        <f>(L98*L99)/3600</f>
        <v>0</v>
      </c>
      <c r="M100" s="31">
        <f>(M98*M99)/3600</f>
        <v>0</v>
      </c>
      <c r="N100" s="31"/>
      <c r="O100" s="27" t="s">
        <v>868</v>
      </c>
      <c r="P100" s="34" t="s">
        <v>876</v>
      </c>
    </row>
    <row r="101" spans="11:15" ht="12.75">
      <c r="K101" s="91"/>
      <c r="L101" s="91"/>
      <c r="M101" s="91"/>
      <c r="O101" s="27"/>
    </row>
    <row r="102" spans="12:15" ht="12.75">
      <c r="L102" s="25"/>
      <c r="O102" s="32"/>
    </row>
    <row r="104" ht="12.75">
      <c r="O104" s="11" t="s">
        <v>799</v>
      </c>
    </row>
    <row r="105" spans="11:18" ht="12.75">
      <c r="K105" s="27"/>
      <c r="L105" s="27"/>
      <c r="M105" s="27"/>
      <c r="R105" s="25"/>
    </row>
    <row r="106" spans="11:18" ht="12.75">
      <c r="K106" s="27" t="s">
        <v>923</v>
      </c>
      <c r="L106" s="40"/>
      <c r="M106" s="40"/>
      <c r="O106" s="27" t="s">
        <v>921</v>
      </c>
      <c r="P106" t="s">
        <v>922</v>
      </c>
      <c r="R106" s="23"/>
    </row>
    <row r="107" spans="11:13" ht="12.75">
      <c r="K107" s="23"/>
      <c r="L107" s="23"/>
      <c r="M107" s="23"/>
    </row>
    <row r="109" ht="12.75">
      <c r="O109" s="11" t="s">
        <v>913</v>
      </c>
    </row>
    <row r="110" spans="15:17" ht="12.75">
      <c r="O110" s="23"/>
      <c r="Q110" s="24"/>
    </row>
    <row r="111" spans="12:17" ht="12.75">
      <c r="L111" s="24" t="s">
        <v>891</v>
      </c>
      <c r="Q111" s="24" t="s">
        <v>916</v>
      </c>
    </row>
    <row r="113" spans="11:20" ht="12.75">
      <c r="K113" s="39" t="s">
        <v>696</v>
      </c>
      <c r="L113" s="39" t="s">
        <v>697</v>
      </c>
      <c r="M113" s="39" t="s">
        <v>886</v>
      </c>
      <c r="N113" s="39" t="s">
        <v>886</v>
      </c>
      <c r="O113" s="39" t="s">
        <v>915</v>
      </c>
      <c r="P113" s="39"/>
      <c r="Q113" s="55"/>
      <c r="T113" s="93"/>
    </row>
    <row r="114" spans="11:20" ht="12.75">
      <c r="K114" s="32" t="s">
        <v>75</v>
      </c>
      <c r="L114" s="32" t="s">
        <v>75</v>
      </c>
      <c r="M114" s="32" t="s">
        <v>75</v>
      </c>
      <c r="N114" s="32" t="s">
        <v>75</v>
      </c>
      <c r="O114" s="32" t="s">
        <v>75</v>
      </c>
      <c r="P114" s="32" t="s">
        <v>70</v>
      </c>
      <c r="Q114" s="58" t="s">
        <v>79</v>
      </c>
      <c r="R114" s="32" t="s">
        <v>400</v>
      </c>
      <c r="S114" s="32" t="s">
        <v>399</v>
      </c>
      <c r="T114" s="32" t="s">
        <v>596</v>
      </c>
    </row>
    <row r="115" spans="11:20" ht="12.75">
      <c r="K115" s="23" t="s">
        <v>882</v>
      </c>
      <c r="L115" s="23" t="s">
        <v>883</v>
      </c>
      <c r="M115" s="23" t="s">
        <v>881</v>
      </c>
      <c r="N115" s="23" t="s">
        <v>885</v>
      </c>
      <c r="O115" s="23" t="s">
        <v>887</v>
      </c>
      <c r="P115" s="23"/>
      <c r="Q115" s="55"/>
      <c r="T115" s="93"/>
    </row>
    <row r="116" spans="11:16" ht="12.75">
      <c r="K116" s="40"/>
      <c r="L116" s="40" t="s">
        <v>893</v>
      </c>
      <c r="M116" s="40"/>
      <c r="N116" s="40"/>
      <c r="O116" s="40"/>
      <c r="P116" s="25" t="s">
        <v>890</v>
      </c>
    </row>
    <row r="118" spans="9:19" ht="12.75">
      <c r="I118" s="1" t="s">
        <v>706</v>
      </c>
      <c r="K118" s="27"/>
      <c r="L118" s="27"/>
      <c r="M118" s="27">
        <v>1</v>
      </c>
      <c r="N118" s="27"/>
      <c r="O118" s="27"/>
      <c r="P118" s="96"/>
      <c r="Q118" s="39" t="s">
        <v>63</v>
      </c>
      <c r="R118" s="57" t="s">
        <v>429</v>
      </c>
      <c r="S118" s="45" t="s">
        <v>65</v>
      </c>
    </row>
    <row r="119" spans="11:19" ht="12.75">
      <c r="K119" s="27">
        <v>2</v>
      </c>
      <c r="L119" s="27"/>
      <c r="M119" s="27"/>
      <c r="N119" s="27">
        <v>1</v>
      </c>
      <c r="O119" s="27">
        <v>2</v>
      </c>
      <c r="P119" s="96"/>
      <c r="Q119" s="27" t="s">
        <v>526</v>
      </c>
      <c r="R119" s="57" t="s">
        <v>624</v>
      </c>
      <c r="S119" s="45" t="s">
        <v>65</v>
      </c>
    </row>
    <row r="120" spans="11:18" ht="12.75">
      <c r="K120" s="27"/>
      <c r="L120" s="27"/>
      <c r="M120" s="27"/>
      <c r="N120" s="27"/>
      <c r="O120" s="27"/>
      <c r="P120" s="96"/>
      <c r="Q120" s="27"/>
      <c r="R120" s="57"/>
    </row>
    <row r="121" spans="11:18" ht="12.75">
      <c r="K121" s="27"/>
      <c r="L121" s="27"/>
      <c r="M121" s="27"/>
      <c r="N121" s="27"/>
      <c r="O121" s="27"/>
      <c r="P121" s="96"/>
      <c r="Q121" s="27"/>
      <c r="R121" s="57"/>
    </row>
    <row r="122" spans="11:19" ht="12.75">
      <c r="K122" s="27"/>
      <c r="L122" s="27"/>
      <c r="M122" s="27"/>
      <c r="N122" s="27"/>
      <c r="O122" s="27">
        <v>1</v>
      </c>
      <c r="P122" s="96" t="s">
        <v>918</v>
      </c>
      <c r="Q122" s="27" t="s">
        <v>917</v>
      </c>
      <c r="R122" s="96" t="s">
        <v>380</v>
      </c>
      <c r="S122" t="s">
        <v>315</v>
      </c>
    </row>
    <row r="123" spans="11:18" ht="12.75">
      <c r="K123" s="27"/>
      <c r="L123" s="27"/>
      <c r="M123" s="27"/>
      <c r="N123" s="27"/>
      <c r="O123" s="27"/>
      <c r="P123" s="96"/>
      <c r="Q123" s="27"/>
      <c r="R123" s="57"/>
    </row>
    <row r="124" spans="11:19" ht="12.75">
      <c r="K124" s="27"/>
      <c r="L124" s="27"/>
      <c r="M124" s="27"/>
      <c r="N124" s="27"/>
      <c r="O124" s="27">
        <v>4</v>
      </c>
      <c r="P124" s="96"/>
      <c r="Q124" s="39" t="s">
        <v>919</v>
      </c>
      <c r="R124" s="96" t="s">
        <v>382</v>
      </c>
      <c r="S124" t="s">
        <v>920</v>
      </c>
    </row>
    <row r="125" spans="11:12" ht="12.75">
      <c r="K125" s="27"/>
      <c r="L125" s="27"/>
    </row>
    <row r="126" spans="11:16" ht="12.75">
      <c r="K126" s="27"/>
      <c r="L126" s="27"/>
      <c r="M126" s="27"/>
      <c r="N126" s="27"/>
      <c r="O126" s="27"/>
      <c r="P126" s="96"/>
    </row>
    <row r="127" spans="11:19" ht="12.75">
      <c r="K127" s="27"/>
      <c r="L127" s="27">
        <v>1</v>
      </c>
      <c r="R127" s="96" t="s">
        <v>423</v>
      </c>
      <c r="S127" s="34" t="s">
        <v>416</v>
      </c>
    </row>
    <row r="128" spans="11:19" ht="12.75">
      <c r="K128" s="27"/>
      <c r="L128" s="27"/>
      <c r="M128" s="27"/>
      <c r="N128" s="27"/>
      <c r="O128" s="27"/>
      <c r="P128" s="96"/>
      <c r="Q128" s="27"/>
      <c r="R128" s="96"/>
      <c r="S128" s="34"/>
    </row>
    <row r="129" spans="11:19" ht="12.75">
      <c r="K129" s="27"/>
      <c r="L129" s="27"/>
      <c r="M129" s="27"/>
      <c r="N129" s="27"/>
      <c r="O129" s="27"/>
      <c r="P129" s="96"/>
      <c r="Q129" s="27"/>
      <c r="R129" s="96"/>
      <c r="S129" s="34"/>
    </row>
    <row r="130" spans="11:18" ht="12.75">
      <c r="K130" s="27"/>
      <c r="L130" s="27"/>
      <c r="M130" s="27"/>
      <c r="N130" s="27"/>
      <c r="O130" s="27"/>
      <c r="P130" s="96"/>
      <c r="Q130" s="27"/>
      <c r="R130" s="57"/>
    </row>
    <row r="131" spans="11:19" ht="12.75">
      <c r="K131" s="27"/>
      <c r="L131" s="27"/>
      <c r="O131" s="27"/>
      <c r="P131" s="96"/>
      <c r="Q131" s="27"/>
      <c r="R131" s="57"/>
      <c r="S131" s="34"/>
    </row>
    <row r="132" spans="11:19" ht="12.75">
      <c r="K132" s="27"/>
      <c r="L132" s="27"/>
      <c r="O132" s="27"/>
      <c r="P132" s="96"/>
      <c r="Q132" s="27"/>
      <c r="R132" s="57"/>
      <c r="S132" s="34"/>
    </row>
    <row r="133" spans="11:19" ht="12.75">
      <c r="K133" s="27"/>
      <c r="L133" s="27"/>
      <c r="M133" s="27"/>
      <c r="N133" s="27"/>
      <c r="O133" s="27"/>
      <c r="P133" s="96"/>
      <c r="Q133" s="27"/>
      <c r="R133" s="96"/>
      <c r="S133" s="34"/>
    </row>
    <row r="134" spans="11:20" ht="12.75">
      <c r="K134" s="27"/>
      <c r="L134" s="27"/>
      <c r="M134" s="27"/>
      <c r="N134" s="27"/>
      <c r="O134" s="27"/>
      <c r="P134" s="96"/>
      <c r="Q134" s="27"/>
      <c r="T134" s="25"/>
    </row>
    <row r="135" ht="12.75">
      <c r="K135" s="27"/>
    </row>
    <row r="136" spans="11:12" ht="12.75">
      <c r="K136" s="27"/>
      <c r="L136" s="27"/>
    </row>
    <row r="137" spans="11:14" ht="12.75">
      <c r="K137" s="27"/>
      <c r="L137" s="27"/>
      <c r="M137" s="27"/>
      <c r="N137" s="27"/>
    </row>
    <row r="138" spans="11:19" ht="12.75">
      <c r="K138" s="27"/>
      <c r="L138" s="27"/>
      <c r="M138" s="27"/>
      <c r="N138" s="27"/>
      <c r="O138" s="27"/>
      <c r="P138" s="96"/>
      <c r="Q138" s="27"/>
      <c r="R138" s="96"/>
      <c r="S138" s="34"/>
    </row>
    <row r="139" spans="9:15" ht="12.75">
      <c r="I139" s="1" t="s">
        <v>707</v>
      </c>
      <c r="O139" s="11"/>
    </row>
    <row r="140" spans="15:17" ht="12.75">
      <c r="O140" s="23"/>
      <c r="Q140" s="24"/>
    </row>
    <row r="141" spans="11:17" ht="12.75">
      <c r="K141" s="24"/>
      <c r="Q141" s="24"/>
    </row>
    <row r="143" spans="11:17" ht="12.75">
      <c r="K143" s="39"/>
      <c r="L143" s="39"/>
      <c r="M143" s="27"/>
      <c r="N143" s="39"/>
      <c r="O143" s="39"/>
      <c r="P143" s="39"/>
      <c r="Q143" s="55"/>
    </row>
    <row r="144" spans="11:20" ht="12.75">
      <c r="K144" s="32"/>
      <c r="L144" s="32"/>
      <c r="M144" s="32"/>
      <c r="N144" s="32"/>
      <c r="O144" s="32"/>
      <c r="P144" s="32"/>
      <c r="Q144" s="58"/>
      <c r="R144" s="32"/>
      <c r="S144" s="32"/>
      <c r="T144" s="32"/>
    </row>
    <row r="145" spans="11:17" ht="12.75">
      <c r="K145" s="23"/>
      <c r="L145" s="23"/>
      <c r="M145" s="23"/>
      <c r="N145" s="23"/>
      <c r="O145" s="23"/>
      <c r="P145" s="23"/>
      <c r="Q145" s="55"/>
    </row>
    <row r="146" ht="12.75">
      <c r="R146" s="57"/>
    </row>
    <row r="147" spans="11:19" ht="12.75">
      <c r="K147" s="27"/>
      <c r="L147" s="27"/>
      <c r="M147" s="27"/>
      <c r="N147" s="27"/>
      <c r="O147" s="27"/>
      <c r="P147" s="96"/>
      <c r="Q147" s="39"/>
      <c r="R147" s="57"/>
      <c r="S147" s="45"/>
    </row>
    <row r="148" spans="11:19" ht="12.75">
      <c r="K148" s="39"/>
      <c r="L148" s="39"/>
      <c r="M148" s="39"/>
      <c r="N148" s="39"/>
      <c r="O148" s="39"/>
      <c r="P148" s="96"/>
      <c r="Q148" s="27"/>
      <c r="R148" s="57"/>
      <c r="S148" s="45"/>
    </row>
    <row r="149" spans="11:18" ht="12.75">
      <c r="K149" s="39"/>
      <c r="L149" s="39"/>
      <c r="M149" s="39"/>
      <c r="N149" s="39"/>
      <c r="O149" s="39"/>
      <c r="P149" s="57"/>
      <c r="Q149" s="27"/>
      <c r="R149" s="57"/>
    </row>
    <row r="150" spans="11:20" ht="12.75">
      <c r="K150" s="39"/>
      <c r="L150" s="39"/>
      <c r="M150" s="39"/>
      <c r="N150" s="39"/>
      <c r="O150" s="39"/>
      <c r="P150" s="96"/>
      <c r="Q150" s="27"/>
      <c r="R150" s="57"/>
      <c r="T150" s="35"/>
    </row>
    <row r="151" spans="11:18" ht="12.75">
      <c r="K151" s="27"/>
      <c r="L151" s="27"/>
      <c r="M151" s="27"/>
      <c r="N151" s="27"/>
      <c r="O151" s="27"/>
      <c r="P151" s="57"/>
      <c r="Q151" s="27"/>
      <c r="R151" s="57"/>
    </row>
    <row r="152" spans="12:20" ht="12.75">
      <c r="L152" s="27"/>
      <c r="Q152" s="27"/>
      <c r="R152" s="57"/>
      <c r="T152" s="25"/>
    </row>
    <row r="154" spans="11:18" ht="12.75">
      <c r="K154" s="39"/>
      <c r="L154" s="39"/>
      <c r="M154" s="27"/>
      <c r="N154" s="27"/>
      <c r="O154" s="27"/>
      <c r="P154" s="57"/>
      <c r="Q154" s="27"/>
      <c r="R154" s="57"/>
    </row>
    <row r="155" spans="11:16" ht="12.75">
      <c r="K155" s="39"/>
      <c r="L155" s="39"/>
      <c r="M155" s="27"/>
      <c r="N155" s="27"/>
      <c r="O155" s="27"/>
      <c r="P155" s="57"/>
    </row>
    <row r="156" spans="11:18" ht="12.75">
      <c r="K156" s="39"/>
      <c r="L156" s="39"/>
      <c r="M156" s="39"/>
      <c r="N156" s="39"/>
      <c r="O156" s="39"/>
      <c r="P156" s="96"/>
      <c r="Q156" s="27"/>
      <c r="R156" s="57"/>
    </row>
    <row r="157" spans="11:18" ht="12.75">
      <c r="K157" s="39"/>
      <c r="M157" s="39"/>
      <c r="N157" s="39"/>
      <c r="O157" s="39"/>
      <c r="P157" s="96"/>
      <c r="Q157" s="27"/>
      <c r="R157" s="57"/>
    </row>
    <row r="158" spans="11:18" ht="12.75">
      <c r="K158" s="39"/>
      <c r="M158" s="39"/>
      <c r="N158" s="39"/>
      <c r="O158" s="39"/>
      <c r="P158" s="96"/>
      <c r="Q158" s="27"/>
      <c r="R158" s="57"/>
    </row>
    <row r="159" spans="11:18" ht="12.75">
      <c r="K159" s="39"/>
      <c r="M159" s="39"/>
      <c r="N159" s="39"/>
      <c r="P159" s="96"/>
      <c r="Q159" s="27"/>
      <c r="R159" s="57"/>
    </row>
    <row r="160" spans="9:18" ht="12.75">
      <c r="I160" s="1" t="s">
        <v>710</v>
      </c>
      <c r="K160" s="39"/>
      <c r="M160" s="39"/>
      <c r="N160" s="39"/>
      <c r="P160" s="96"/>
      <c r="Q160" s="27"/>
      <c r="R160" s="57"/>
    </row>
    <row r="161" spans="11:18" ht="12.75">
      <c r="K161" s="39"/>
      <c r="M161" s="39"/>
      <c r="N161" s="39"/>
      <c r="P161" s="96"/>
      <c r="Q161" s="39"/>
      <c r="R161" s="57"/>
    </row>
    <row r="162" ht="12.75">
      <c r="K162" s="39"/>
    </row>
    <row r="163" spans="11:18" ht="12.75">
      <c r="K163" s="39"/>
      <c r="L163" s="39"/>
      <c r="M163" s="39"/>
      <c r="N163" s="39"/>
      <c r="O163" s="39"/>
      <c r="P163" s="96"/>
      <c r="Q163" s="27"/>
      <c r="R163" s="96"/>
    </row>
    <row r="164" spans="11:18" ht="12.75">
      <c r="K164" s="39"/>
      <c r="L164" s="39"/>
      <c r="M164" s="39"/>
      <c r="N164" s="39"/>
      <c r="O164" s="39"/>
      <c r="P164" s="96"/>
      <c r="Q164" s="27"/>
      <c r="R164" s="96"/>
    </row>
    <row r="165" spans="11:18" ht="12.75">
      <c r="K165" s="39"/>
      <c r="L165" s="39"/>
      <c r="M165" s="39"/>
      <c r="N165" s="39"/>
      <c r="O165" s="39"/>
      <c r="P165" s="96"/>
      <c r="Q165" s="27"/>
      <c r="R165" s="96"/>
    </row>
    <row r="166" spans="11:21" ht="12.75">
      <c r="K166" s="39"/>
      <c r="L166" s="39"/>
      <c r="M166" s="39"/>
      <c r="N166" s="39"/>
      <c r="O166" s="39"/>
      <c r="P166" s="96"/>
      <c r="Q166" s="27"/>
      <c r="R166" s="96"/>
      <c r="U166" s="25"/>
    </row>
    <row r="167" spans="11:18" ht="12.75">
      <c r="K167" s="39"/>
      <c r="L167" s="39"/>
      <c r="M167" s="39"/>
      <c r="N167" s="39"/>
      <c r="O167" s="39"/>
      <c r="P167" s="96"/>
      <c r="Q167" s="27"/>
      <c r="R167" s="96"/>
    </row>
    <row r="168" spans="11:18" ht="12.75">
      <c r="K168" s="39"/>
      <c r="L168" s="39"/>
      <c r="M168" s="39"/>
      <c r="N168" s="39"/>
      <c r="O168" s="39"/>
      <c r="P168" s="57"/>
      <c r="Q168" s="27"/>
      <c r="R168" s="57"/>
    </row>
    <row r="169" spans="11:19" ht="12.75">
      <c r="K169" s="39"/>
      <c r="L169" s="39"/>
      <c r="M169" s="39"/>
      <c r="N169" s="39"/>
      <c r="O169" s="39"/>
      <c r="P169" s="96"/>
      <c r="Q169" s="27"/>
      <c r="R169" s="96"/>
      <c r="S169" s="34"/>
    </row>
    <row r="170" spans="11:19" ht="12.75">
      <c r="K170" s="39"/>
      <c r="L170" s="39"/>
      <c r="M170" s="39"/>
      <c r="N170" s="39"/>
      <c r="O170" s="39"/>
      <c r="P170" s="96"/>
      <c r="Q170" s="27"/>
      <c r="R170" s="96"/>
      <c r="S170" s="34"/>
    </row>
    <row r="171" spans="11:18" ht="12.75">
      <c r="K171" s="39"/>
      <c r="L171" s="39"/>
      <c r="M171" s="39"/>
      <c r="N171" s="39"/>
      <c r="O171" s="39"/>
      <c r="P171" s="57"/>
      <c r="Q171" s="27"/>
      <c r="R171" s="57"/>
    </row>
    <row r="172" spans="11:18" ht="12.75">
      <c r="K172" s="39"/>
      <c r="L172" s="39"/>
      <c r="M172" s="39"/>
      <c r="N172" s="39"/>
      <c r="O172" s="39"/>
      <c r="P172" s="96"/>
      <c r="Q172" s="27"/>
      <c r="R172" s="96"/>
    </row>
    <row r="173" spans="11:17" ht="12.75">
      <c r="K173" s="39"/>
      <c r="L173" s="39"/>
      <c r="M173" s="39"/>
      <c r="N173" s="39"/>
      <c r="O173" s="39"/>
      <c r="P173" s="57"/>
      <c r="Q173" s="27"/>
    </row>
    <row r="174" spans="11:20" ht="12.75">
      <c r="K174" s="39"/>
      <c r="L174" s="39"/>
      <c r="M174" s="39"/>
      <c r="N174" s="39"/>
      <c r="O174" s="39"/>
      <c r="P174" s="96"/>
      <c r="Q174" s="27"/>
      <c r="R174" s="96"/>
      <c r="S174" s="34"/>
      <c r="T174" s="25"/>
    </row>
    <row r="175" spans="11:15" ht="12.75">
      <c r="K175" s="39"/>
      <c r="L175" s="39"/>
      <c r="M175" s="39"/>
      <c r="N175" s="39"/>
      <c r="O175" s="39"/>
    </row>
    <row r="176" spans="11:15" ht="12.75">
      <c r="K176" s="39"/>
      <c r="L176" s="39"/>
      <c r="M176" s="39"/>
      <c r="N176" s="39"/>
      <c r="O176" s="39"/>
    </row>
    <row r="180" ht="12.75">
      <c r="I180" s="1" t="s">
        <v>725</v>
      </c>
    </row>
    <row r="202" ht="12.75">
      <c r="I202" s="1" t="s">
        <v>724</v>
      </c>
    </row>
    <row r="222" ht="12.75">
      <c r="I222" s="1" t="s">
        <v>864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 Envelopes for Fighters Anthology</dc:title>
  <dc:subject/>
  <dc:creator>usnraptor</dc:creator>
  <cp:keywords/>
  <dc:description>Some 0G and 1G values are made higher so diving aircraft can reach their structural limits instead of just having "lift failure".</dc:description>
  <cp:lastModifiedBy>Anonymous</cp:lastModifiedBy>
  <dcterms:created xsi:type="dcterms:W3CDTF">2020-08-14T22:23:05Z</dcterms:created>
  <dcterms:modified xsi:type="dcterms:W3CDTF">2024-03-28T18:29:17Z</dcterms:modified>
  <cp:category/>
  <cp:version/>
  <cp:contentType/>
  <cp:contentStatus/>
</cp:coreProperties>
</file>